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315" windowWidth="19440" windowHeight="3510" tabRatio="933"/>
  </bookViews>
  <sheets>
    <sheet name="Beregningsmodel forenklet" sheetId="23" r:id="rId1"/>
    <sheet name="Beregningsmodel avanceret" sheetId="22" r:id="rId2"/>
    <sheet name="Brugervejledning" sheetId="13" r:id="rId3"/>
    <sheet name="Teknisk beskrivelse" sheetId="4" r:id="rId4"/>
    <sheet name="Katalog-køretøjer" sheetId="9" r:id="rId5"/>
    <sheet name="Katalog-samlede leverancer" sheetId="10" r:id="rId6"/>
    <sheet name="Katalog-støjkilder" sheetId="6" r:id="rId7"/>
    <sheet name="Tidsrum" sheetId="8" r:id="rId8"/>
    <sheet name="Eks. 1A, alm. forenklet" sheetId="27" r:id="rId9"/>
    <sheet name="Eks. 1B, støjsvag forenklet" sheetId="28" r:id="rId10"/>
    <sheet name="Eks.2 beregningsmodel avanceret" sheetId="29" r:id="rId11"/>
  </sheets>
  <definedNames>
    <definedName name="_ftn1" localSheetId="2">Brugervejledning!$B$23</definedName>
    <definedName name="_ftn2" localSheetId="2">Brugervejledning!$B$24</definedName>
    <definedName name="_ftn3" localSheetId="2">Brugervejledning!$B$25</definedName>
    <definedName name="_ftnref1" localSheetId="2">Brugervejledning!$B$10</definedName>
    <definedName name="_ftnref2" localSheetId="2">Brugervejledning!$B$12</definedName>
    <definedName name="_ftnref3" localSheetId="2">Brugervejledning!$B$16</definedName>
    <definedName name="_xlnm.Print_Area" localSheetId="1">'Beregningsmodel avanceret'!$A$1:$M$81</definedName>
    <definedName name="_xlnm.Print_Area" localSheetId="0">'Beregningsmodel forenklet'!$A$1:$M$81</definedName>
    <definedName name="_xlnm.Print_Area" localSheetId="2">Brugervejledning!$A$1:$O$66</definedName>
    <definedName name="_xlnm.Print_Area" localSheetId="8">'Eks. 1A, alm. forenklet'!$A$1:$P$72</definedName>
    <definedName name="_xlnm.Print_Area" localSheetId="9">'Eks. 1B, støjsvag forenklet'!$A$1:$P$72</definedName>
    <definedName name="_xlnm.Print_Area" localSheetId="10">'Eks.2 beregningsmodel avanceret'!$A$1:$P$103</definedName>
    <definedName name="_xlnm.Print_Area" localSheetId="3">'Teknisk beskrivelse'!$A$1:$P$36</definedName>
  </definedNames>
  <calcPr calcId="145621"/>
</workbook>
</file>

<file path=xl/calcChain.xml><?xml version="1.0" encoding="utf-8"?>
<calcChain xmlns="http://schemas.openxmlformats.org/spreadsheetml/2006/main">
  <c r="A81" i="22" l="1"/>
  <c r="K8" i="23" l="1"/>
  <c r="Q15" i="23" l="1"/>
  <c r="G49" i="22" l="1"/>
  <c r="A2" i="22" l="1"/>
  <c r="M1" i="22"/>
  <c r="G39" i="23" l="1"/>
  <c r="G40" i="23"/>
  <c r="G35" i="23"/>
  <c r="G36" i="23"/>
  <c r="O297" i="6" l="1"/>
  <c r="N297" i="6"/>
  <c r="O160" i="6"/>
  <c r="N157" i="6"/>
  <c r="O157" i="6"/>
  <c r="N158" i="6"/>
  <c r="O158" i="6"/>
  <c r="N159" i="6"/>
  <c r="O159" i="6"/>
  <c r="N89" i="6"/>
  <c r="O89" i="6"/>
  <c r="N90" i="6"/>
  <c r="O90" i="6"/>
  <c r="N91" i="6"/>
  <c r="O91" i="6"/>
  <c r="N185" i="6"/>
  <c r="O19" i="6"/>
  <c r="N19" i="6"/>
  <c r="M60" i="23" l="1"/>
  <c r="K60" i="23"/>
  <c r="I60" i="23"/>
  <c r="G60" i="23"/>
  <c r="E60" i="23"/>
  <c r="D60" i="23"/>
  <c r="C60" i="23"/>
  <c r="M59" i="23"/>
  <c r="K59" i="23"/>
  <c r="I59" i="23"/>
  <c r="G59" i="23"/>
  <c r="E59" i="23"/>
  <c r="D59" i="23"/>
  <c r="C59" i="23"/>
  <c r="M57" i="23"/>
  <c r="K57" i="23"/>
  <c r="I57" i="23"/>
  <c r="E57" i="23"/>
  <c r="G57" i="23" s="1"/>
  <c r="D57" i="23"/>
  <c r="C57" i="23"/>
  <c r="M56" i="23"/>
  <c r="K56" i="23"/>
  <c r="I56" i="23"/>
  <c r="E56" i="23"/>
  <c r="G56" i="23" s="1"/>
  <c r="D56" i="23"/>
  <c r="C56" i="23"/>
  <c r="M55" i="23"/>
  <c r="K55" i="23"/>
  <c r="I55" i="23"/>
  <c r="E55" i="23"/>
  <c r="G55" i="23" s="1"/>
  <c r="D55" i="23"/>
  <c r="C55" i="23"/>
  <c r="M53" i="23"/>
  <c r="K53" i="23"/>
  <c r="I53" i="23"/>
  <c r="E53" i="23"/>
  <c r="D53" i="23"/>
  <c r="C53" i="23"/>
  <c r="M52" i="23"/>
  <c r="K52" i="23"/>
  <c r="I52" i="23"/>
  <c r="E52" i="23"/>
  <c r="D52" i="23"/>
  <c r="C52" i="23"/>
  <c r="M51" i="23"/>
  <c r="K51" i="23"/>
  <c r="I51" i="23"/>
  <c r="E51" i="23"/>
  <c r="D51" i="23"/>
  <c r="C51" i="23"/>
  <c r="M49" i="23"/>
  <c r="K49" i="23"/>
  <c r="I49" i="23"/>
  <c r="G49" i="23"/>
  <c r="E49" i="23"/>
  <c r="D49" i="23"/>
  <c r="C49" i="23"/>
  <c r="M48" i="23"/>
  <c r="K48" i="23"/>
  <c r="I48" i="23"/>
  <c r="G48" i="23"/>
  <c r="E48" i="23"/>
  <c r="D48" i="23"/>
  <c r="C48" i="23"/>
  <c r="M47" i="23"/>
  <c r="K47" i="23"/>
  <c r="I47" i="23"/>
  <c r="G47" i="23"/>
  <c r="E47" i="23"/>
  <c r="D47" i="23"/>
  <c r="C47" i="23"/>
  <c r="M45" i="23"/>
  <c r="K45" i="23"/>
  <c r="I45" i="23"/>
  <c r="G45" i="23"/>
  <c r="E45" i="23"/>
  <c r="D45" i="23"/>
  <c r="C45" i="23"/>
  <c r="M44" i="23"/>
  <c r="K44" i="23"/>
  <c r="I44" i="23"/>
  <c r="G44" i="23"/>
  <c r="E44" i="23"/>
  <c r="D44" i="23"/>
  <c r="C44" i="23"/>
  <c r="M43" i="23"/>
  <c r="K43" i="23"/>
  <c r="I43" i="23"/>
  <c r="G43" i="23"/>
  <c r="E43" i="23"/>
  <c r="D43" i="23"/>
  <c r="C43" i="23"/>
  <c r="M41" i="23"/>
  <c r="K41" i="23"/>
  <c r="I41" i="23"/>
  <c r="G41" i="23"/>
  <c r="E41" i="23"/>
  <c r="D41" i="23"/>
  <c r="C41" i="23"/>
  <c r="M40" i="23"/>
  <c r="K40" i="23"/>
  <c r="I40" i="23"/>
  <c r="E40" i="23"/>
  <c r="D40" i="23"/>
  <c r="C40" i="23"/>
  <c r="M39" i="23"/>
  <c r="K39" i="23"/>
  <c r="I39" i="23"/>
  <c r="E39" i="23"/>
  <c r="D39" i="23"/>
  <c r="C39" i="23"/>
  <c r="M37" i="23"/>
  <c r="K37" i="23"/>
  <c r="I37" i="23"/>
  <c r="G37" i="23"/>
  <c r="E37" i="23"/>
  <c r="D37" i="23"/>
  <c r="C37" i="23"/>
  <c r="M36" i="23"/>
  <c r="K36" i="23"/>
  <c r="I36" i="23"/>
  <c r="E36" i="23"/>
  <c r="D36" i="23"/>
  <c r="C36" i="23"/>
  <c r="M35" i="23"/>
  <c r="K35" i="23"/>
  <c r="I35" i="23"/>
  <c r="E35" i="23"/>
  <c r="D35" i="23"/>
  <c r="C35" i="23"/>
  <c r="M32" i="23"/>
  <c r="K32" i="23"/>
  <c r="I32" i="23"/>
  <c r="G32" i="23"/>
  <c r="E32" i="23"/>
  <c r="D32" i="23"/>
  <c r="C32" i="23"/>
  <c r="M31" i="23"/>
  <c r="K31" i="23"/>
  <c r="G31" i="23"/>
  <c r="E31" i="23"/>
  <c r="I31" i="23" s="1"/>
  <c r="D31" i="23"/>
  <c r="C31" i="23"/>
  <c r="M30" i="23"/>
  <c r="K30" i="23"/>
  <c r="E30" i="23"/>
  <c r="G30" i="23" s="1"/>
  <c r="D30" i="23"/>
  <c r="C30" i="23"/>
  <c r="D26" i="23"/>
  <c r="C26" i="23"/>
  <c r="D25" i="23"/>
  <c r="C25" i="23"/>
  <c r="D24" i="23"/>
  <c r="C24" i="23"/>
  <c r="D23" i="23"/>
  <c r="C23" i="23"/>
  <c r="D22" i="23"/>
  <c r="C22" i="23"/>
  <c r="Z17" i="23"/>
  <c r="Y17" i="23"/>
  <c r="X17" i="23"/>
  <c r="W17" i="23"/>
  <c r="Z16" i="23"/>
  <c r="Y16" i="23"/>
  <c r="X16" i="23"/>
  <c r="W16" i="23"/>
  <c r="T15" i="23"/>
  <c r="S15" i="23"/>
  <c r="R15" i="23"/>
  <c r="Q16" i="23"/>
  <c r="Q17" i="23" s="1"/>
  <c r="M60" i="22"/>
  <c r="K60" i="22"/>
  <c r="I60" i="22"/>
  <c r="G60" i="22"/>
  <c r="E60" i="22"/>
  <c r="D60" i="22"/>
  <c r="C60" i="22"/>
  <c r="M59" i="22"/>
  <c r="K59" i="22"/>
  <c r="I59" i="22"/>
  <c r="G59" i="22"/>
  <c r="E59" i="22"/>
  <c r="D59" i="22"/>
  <c r="C59" i="22"/>
  <c r="M57" i="22"/>
  <c r="K57" i="22"/>
  <c r="I57" i="22"/>
  <c r="G57" i="22"/>
  <c r="E57" i="22"/>
  <c r="D57" i="22"/>
  <c r="C57" i="22"/>
  <c r="M56" i="22"/>
  <c r="K56" i="22"/>
  <c r="I56" i="22"/>
  <c r="E56" i="22"/>
  <c r="G56" i="22" s="1"/>
  <c r="D56" i="22"/>
  <c r="C56" i="22"/>
  <c r="M55" i="22"/>
  <c r="K55" i="22"/>
  <c r="I55" i="22"/>
  <c r="E55" i="22"/>
  <c r="G55" i="22" s="1"/>
  <c r="D55" i="22"/>
  <c r="C55" i="22"/>
  <c r="M53" i="22"/>
  <c r="K53" i="22"/>
  <c r="I53" i="22"/>
  <c r="G53" i="22"/>
  <c r="E53" i="22"/>
  <c r="D53" i="22"/>
  <c r="C53" i="22"/>
  <c r="M52" i="22"/>
  <c r="K52" i="22"/>
  <c r="I52" i="22"/>
  <c r="E52" i="22"/>
  <c r="G52" i="22" s="1"/>
  <c r="D52" i="22"/>
  <c r="C52" i="22"/>
  <c r="M51" i="22"/>
  <c r="K51" i="22"/>
  <c r="I51" i="22"/>
  <c r="E51" i="22"/>
  <c r="G51" i="22" s="1"/>
  <c r="D51" i="22"/>
  <c r="C51" i="22"/>
  <c r="M49" i="22"/>
  <c r="K49" i="22"/>
  <c r="I49" i="22"/>
  <c r="E49" i="22"/>
  <c r="D49" i="22"/>
  <c r="C49" i="22"/>
  <c r="M48" i="22"/>
  <c r="K48" i="22"/>
  <c r="I48" i="22"/>
  <c r="G48" i="22"/>
  <c r="E48" i="22"/>
  <c r="D48" i="22"/>
  <c r="C48" i="22"/>
  <c r="M47" i="22"/>
  <c r="K47" i="22"/>
  <c r="I47" i="22"/>
  <c r="G47" i="22"/>
  <c r="E47" i="22"/>
  <c r="D47" i="22"/>
  <c r="C47" i="22"/>
  <c r="M45" i="22"/>
  <c r="K45" i="22"/>
  <c r="I45" i="22"/>
  <c r="G45" i="22"/>
  <c r="E45" i="22"/>
  <c r="D45" i="22"/>
  <c r="C45" i="22"/>
  <c r="M44" i="22"/>
  <c r="K44" i="22"/>
  <c r="I44" i="22"/>
  <c r="E44" i="22"/>
  <c r="G44" i="22" s="1"/>
  <c r="D44" i="22"/>
  <c r="C44" i="22"/>
  <c r="M43" i="22"/>
  <c r="K43" i="22"/>
  <c r="I43" i="22"/>
  <c r="E43" i="22"/>
  <c r="G43" i="22" s="1"/>
  <c r="D43" i="22"/>
  <c r="C43" i="22"/>
  <c r="M41" i="22"/>
  <c r="K41" i="22"/>
  <c r="I41" i="22"/>
  <c r="G41" i="22"/>
  <c r="E41" i="22"/>
  <c r="D41" i="22"/>
  <c r="C41" i="22"/>
  <c r="M40" i="22"/>
  <c r="K40" i="22"/>
  <c r="I40" i="22"/>
  <c r="E40" i="22"/>
  <c r="G40" i="22" s="1"/>
  <c r="D40" i="22"/>
  <c r="C40" i="22"/>
  <c r="M39" i="22"/>
  <c r="K39" i="22"/>
  <c r="I39" i="22"/>
  <c r="E39" i="22"/>
  <c r="G39" i="22" s="1"/>
  <c r="D39" i="22"/>
  <c r="C39" i="22"/>
  <c r="M37" i="22"/>
  <c r="K37" i="22"/>
  <c r="I37" i="22"/>
  <c r="E37" i="22"/>
  <c r="G37" i="22" s="1"/>
  <c r="D37" i="22"/>
  <c r="C37" i="22"/>
  <c r="M36" i="22"/>
  <c r="K36" i="22"/>
  <c r="I36" i="22"/>
  <c r="E36" i="22"/>
  <c r="G36" i="22" s="1"/>
  <c r="D36" i="22"/>
  <c r="C36" i="22"/>
  <c r="M35" i="22"/>
  <c r="K35" i="22"/>
  <c r="I35" i="22"/>
  <c r="G35" i="22"/>
  <c r="E35" i="22"/>
  <c r="D35" i="22"/>
  <c r="C35" i="22"/>
  <c r="M32" i="22"/>
  <c r="K32" i="22"/>
  <c r="I32" i="22"/>
  <c r="G32" i="22"/>
  <c r="E32" i="22"/>
  <c r="D32" i="22"/>
  <c r="C32" i="22"/>
  <c r="M31" i="22"/>
  <c r="K31" i="22"/>
  <c r="G31" i="22"/>
  <c r="E31" i="22"/>
  <c r="I31" i="22" s="1"/>
  <c r="D31" i="22"/>
  <c r="C31" i="22"/>
  <c r="M30" i="22"/>
  <c r="K30" i="22"/>
  <c r="I30" i="22"/>
  <c r="E30" i="22"/>
  <c r="G30" i="22" s="1"/>
  <c r="D30" i="22"/>
  <c r="C30" i="22"/>
  <c r="D26" i="22"/>
  <c r="C26" i="22"/>
  <c r="D25" i="22"/>
  <c r="C25" i="22"/>
  <c r="D24" i="22"/>
  <c r="C24" i="22"/>
  <c r="D23" i="22"/>
  <c r="C23" i="22"/>
  <c r="D22" i="22"/>
  <c r="C22" i="22"/>
  <c r="Z17" i="22"/>
  <c r="Y17" i="22"/>
  <c r="X17" i="22"/>
  <c r="W17" i="22"/>
  <c r="Z16" i="22"/>
  <c r="V26" i="22" s="1"/>
  <c r="Y16" i="22"/>
  <c r="U26" i="22" s="1"/>
  <c r="X16" i="22"/>
  <c r="T22" i="22" s="1"/>
  <c r="W16" i="22"/>
  <c r="T15" i="22"/>
  <c r="S15" i="22"/>
  <c r="R15" i="22"/>
  <c r="Q15" i="22"/>
  <c r="K8" i="22"/>
  <c r="H70" i="22" s="1"/>
  <c r="I30" i="23" l="1"/>
  <c r="R56" i="23"/>
  <c r="Z56" i="23" s="1"/>
  <c r="V34" i="23"/>
  <c r="V30" i="23"/>
  <c r="V35" i="23"/>
  <c r="V37" i="23"/>
  <c r="V39" i="23"/>
  <c r="V41" i="23"/>
  <c r="V43" i="23"/>
  <c r="V45" i="23"/>
  <c r="V47" i="23"/>
  <c r="V49" i="23"/>
  <c r="V51" i="23"/>
  <c r="V53" i="23"/>
  <c r="V55" i="23"/>
  <c r="V57" i="23"/>
  <c r="V59" i="23"/>
  <c r="V32" i="23"/>
  <c r="V36" i="23"/>
  <c r="V38" i="23"/>
  <c r="V40" i="23"/>
  <c r="V42" i="23"/>
  <c r="V44" i="23"/>
  <c r="V46" i="23"/>
  <c r="V48" i="23"/>
  <c r="V50" i="23"/>
  <c r="V52" i="23"/>
  <c r="V54" i="23"/>
  <c r="V56" i="23"/>
  <c r="V58" i="23"/>
  <c r="V60" i="23"/>
  <c r="V31" i="23"/>
  <c r="Q60" i="23"/>
  <c r="Y60" i="23" s="1"/>
  <c r="U35" i="23"/>
  <c r="U37" i="23"/>
  <c r="U39" i="23"/>
  <c r="U41" i="23"/>
  <c r="U43" i="23"/>
  <c r="U45" i="23"/>
  <c r="U47" i="23"/>
  <c r="U49" i="23"/>
  <c r="U51" i="23"/>
  <c r="U53" i="23"/>
  <c r="U55" i="23"/>
  <c r="U57" i="23"/>
  <c r="U59" i="23"/>
  <c r="U34" i="23"/>
  <c r="U32" i="23"/>
  <c r="U36" i="23"/>
  <c r="U38" i="23"/>
  <c r="U40" i="23"/>
  <c r="U42" i="23"/>
  <c r="U44" i="23"/>
  <c r="U46" i="23"/>
  <c r="U48" i="23"/>
  <c r="U50" i="23"/>
  <c r="U52" i="23"/>
  <c r="U54" i="23"/>
  <c r="U56" i="23"/>
  <c r="U58" i="23"/>
  <c r="U60" i="23"/>
  <c r="U31" i="23"/>
  <c r="U30" i="23"/>
  <c r="V23" i="23"/>
  <c r="V26" i="23"/>
  <c r="V24" i="23"/>
  <c r="V22" i="23"/>
  <c r="V25" i="23"/>
  <c r="U26" i="23"/>
  <c r="U25" i="23"/>
  <c r="U23" i="23"/>
  <c r="U24" i="23"/>
  <c r="U22" i="23"/>
  <c r="P59" i="23"/>
  <c r="X59" i="23" s="1"/>
  <c r="T34" i="23"/>
  <c r="T40" i="23"/>
  <c r="T44" i="23"/>
  <c r="T48" i="23"/>
  <c r="T52" i="23"/>
  <c r="T56" i="23"/>
  <c r="T60" i="23"/>
  <c r="T37" i="23"/>
  <c r="T41" i="23"/>
  <c r="T45" i="23"/>
  <c r="T49" i="23"/>
  <c r="T53" i="23"/>
  <c r="T57" i="23"/>
  <c r="T36" i="23"/>
  <c r="T32" i="23"/>
  <c r="T38" i="23"/>
  <c r="T42" i="23"/>
  <c r="T46" i="23"/>
  <c r="T50" i="23"/>
  <c r="T54" i="23"/>
  <c r="T58" i="23"/>
  <c r="T35" i="23"/>
  <c r="T31" i="23"/>
  <c r="T39" i="23"/>
  <c r="T43" i="23"/>
  <c r="T47" i="23"/>
  <c r="T51" i="23"/>
  <c r="T55" i="23"/>
  <c r="T59" i="23"/>
  <c r="T30" i="23"/>
  <c r="T26" i="23"/>
  <c r="T24" i="23"/>
  <c r="T25" i="23"/>
  <c r="T22" i="23"/>
  <c r="T23" i="23"/>
  <c r="S59" i="23"/>
  <c r="S55" i="23"/>
  <c r="S51" i="23"/>
  <c r="S47" i="23"/>
  <c r="S43" i="23"/>
  <c r="S39" i="23"/>
  <c r="S35" i="23"/>
  <c r="S31" i="23"/>
  <c r="S58" i="23"/>
  <c r="S54" i="23"/>
  <c r="S50" i="23"/>
  <c r="S46" i="23"/>
  <c r="S42" i="23"/>
  <c r="S38" i="23"/>
  <c r="S34" i="23"/>
  <c r="S30" i="23"/>
  <c r="S57" i="23"/>
  <c r="S53" i="23"/>
  <c r="S49" i="23"/>
  <c r="S45" i="23"/>
  <c r="S41" i="23"/>
  <c r="S37" i="23"/>
  <c r="S60" i="23"/>
  <c r="S56" i="23"/>
  <c r="S52" i="23"/>
  <c r="S48" i="23"/>
  <c r="S44" i="23"/>
  <c r="S40" i="23"/>
  <c r="S36" i="23"/>
  <c r="S32" i="23"/>
  <c r="O22" i="23"/>
  <c r="W22" i="23" s="1"/>
  <c r="S26" i="23"/>
  <c r="S24" i="23"/>
  <c r="S23" i="23"/>
  <c r="S22" i="23"/>
  <c r="S25" i="23"/>
  <c r="Q53" i="22"/>
  <c r="Y53" i="22" s="1"/>
  <c r="U36" i="22"/>
  <c r="U40" i="22"/>
  <c r="U44" i="22"/>
  <c r="U48" i="22"/>
  <c r="U52" i="22"/>
  <c r="U56" i="22"/>
  <c r="U60" i="22"/>
  <c r="U30" i="22"/>
  <c r="U37" i="22"/>
  <c r="U41" i="22"/>
  <c r="U45" i="22"/>
  <c r="U49" i="22"/>
  <c r="U53" i="22"/>
  <c r="U57" i="22"/>
  <c r="U34" i="22"/>
  <c r="U38" i="22"/>
  <c r="U42" i="22"/>
  <c r="U46" i="22"/>
  <c r="U50" i="22"/>
  <c r="U54" i="22"/>
  <c r="U58" i="22"/>
  <c r="U35" i="22"/>
  <c r="U39" i="22"/>
  <c r="U43" i="22"/>
  <c r="U47" i="22"/>
  <c r="U51" i="22"/>
  <c r="U55" i="22"/>
  <c r="U59" i="22"/>
  <c r="U31" i="22"/>
  <c r="U32" i="22"/>
  <c r="V30" i="22"/>
  <c r="V36" i="22"/>
  <c r="V40" i="22"/>
  <c r="V44" i="22"/>
  <c r="V48" i="22"/>
  <c r="V52" i="22"/>
  <c r="V56" i="22"/>
  <c r="V60" i="22"/>
  <c r="V34" i="22"/>
  <c r="V37" i="22"/>
  <c r="V41" i="22"/>
  <c r="V45" i="22"/>
  <c r="V49" i="22"/>
  <c r="V53" i="22"/>
  <c r="V57" i="22"/>
  <c r="V31" i="22"/>
  <c r="V38" i="22"/>
  <c r="V42" i="22"/>
  <c r="V46" i="22"/>
  <c r="V50" i="22"/>
  <c r="V54" i="22"/>
  <c r="V58" i="22"/>
  <c r="V32" i="22"/>
  <c r="V35" i="22"/>
  <c r="V39" i="22"/>
  <c r="V43" i="22"/>
  <c r="V47" i="22"/>
  <c r="V51" i="22"/>
  <c r="V55" i="22"/>
  <c r="V59" i="22"/>
  <c r="P59" i="22"/>
  <c r="X59" i="22" s="1"/>
  <c r="T41" i="22"/>
  <c r="T49" i="22"/>
  <c r="T57" i="22"/>
  <c r="T36" i="22"/>
  <c r="T44" i="22"/>
  <c r="T52" i="22"/>
  <c r="T60" i="22"/>
  <c r="T39" i="22"/>
  <c r="T47" i="22"/>
  <c r="T55" i="22"/>
  <c r="T42" i="22"/>
  <c r="T50" i="22"/>
  <c r="T58" i="22"/>
  <c r="T31" i="22"/>
  <c r="T37" i="22"/>
  <c r="T45" i="22"/>
  <c r="T53" i="22"/>
  <c r="T32" i="22"/>
  <c r="T40" i="22"/>
  <c r="T48" i="22"/>
  <c r="T56" i="22"/>
  <c r="T35" i="22"/>
  <c r="T43" i="22"/>
  <c r="T51" i="22"/>
  <c r="T59" i="22"/>
  <c r="T34" i="22"/>
  <c r="T38" i="22"/>
  <c r="T46" i="22"/>
  <c r="T54" i="22"/>
  <c r="T30" i="22"/>
  <c r="S34" i="22"/>
  <c r="S38" i="22"/>
  <c r="S44" i="22"/>
  <c r="S48" i="22"/>
  <c r="S52" i="22"/>
  <c r="S56" i="22"/>
  <c r="S60" i="22"/>
  <c r="S35" i="22"/>
  <c r="S41" i="22"/>
  <c r="S45" i="22"/>
  <c r="S49" i="22"/>
  <c r="S53" i="22"/>
  <c r="S57" i="22"/>
  <c r="S31" i="22"/>
  <c r="S32" i="22"/>
  <c r="S36" i="22"/>
  <c r="S40" i="22"/>
  <c r="S42" i="22"/>
  <c r="S46" i="22"/>
  <c r="S50" i="22"/>
  <c r="S54" i="22"/>
  <c r="S58" i="22"/>
  <c r="S30" i="22"/>
  <c r="S37" i="22"/>
  <c r="S39" i="22"/>
  <c r="S43" i="22"/>
  <c r="S47" i="22"/>
  <c r="S51" i="22"/>
  <c r="S55" i="22"/>
  <c r="S59" i="22"/>
  <c r="O41" i="22"/>
  <c r="W41" i="22" s="1"/>
  <c r="Q38" i="22"/>
  <c r="Y38" i="22" s="1"/>
  <c r="U23" i="22"/>
  <c r="Q37" i="22"/>
  <c r="Y37" i="22" s="1"/>
  <c r="Q43" i="22"/>
  <c r="Y43" i="22" s="1"/>
  <c r="Q55" i="22"/>
  <c r="Y55" i="22" s="1"/>
  <c r="Q42" i="22"/>
  <c r="Y42" i="22" s="1"/>
  <c r="V24" i="22"/>
  <c r="R25" i="22"/>
  <c r="Z25" i="22" s="1"/>
  <c r="R22" i="22"/>
  <c r="Z22" i="22" s="1"/>
  <c r="R23" i="22"/>
  <c r="Z23" i="22" s="1"/>
  <c r="Q25" i="22"/>
  <c r="Y25" i="22" s="1"/>
  <c r="V23" i="22"/>
  <c r="U25" i="22"/>
  <c r="R26" i="22"/>
  <c r="Z26" i="22" s="1"/>
  <c r="Q23" i="22"/>
  <c r="Y23" i="22" s="1"/>
  <c r="V25" i="22"/>
  <c r="T16" i="22"/>
  <c r="T17" i="22" s="1"/>
  <c r="T19" i="22" s="1"/>
  <c r="R37" i="22" s="1"/>
  <c r="Z37" i="22" s="1"/>
  <c r="L8" i="22"/>
  <c r="E17" i="22" s="1"/>
  <c r="D17" i="22"/>
  <c r="F70" i="22"/>
  <c r="Q16" i="22"/>
  <c r="Q17" i="22" s="1"/>
  <c r="Q19" i="22" s="1"/>
  <c r="O51" i="22" s="1"/>
  <c r="W51" i="22" s="1"/>
  <c r="J70" i="22"/>
  <c r="R16" i="22"/>
  <c r="R17" i="22" s="1"/>
  <c r="R19" i="22" s="1"/>
  <c r="P40" i="22" s="1"/>
  <c r="X40" i="22" s="1"/>
  <c r="L70" i="22"/>
  <c r="Q19" i="23"/>
  <c r="O30" i="23" s="1"/>
  <c r="W30" i="23" s="1"/>
  <c r="L70" i="23"/>
  <c r="F70" i="23"/>
  <c r="H70" i="23"/>
  <c r="J70" i="23"/>
  <c r="P57" i="23"/>
  <c r="X57" i="23" s="1"/>
  <c r="R57" i="23"/>
  <c r="Z57" i="23" s="1"/>
  <c r="R60" i="23"/>
  <c r="Z60" i="23" s="1"/>
  <c r="R42" i="23"/>
  <c r="Z42" i="23" s="1"/>
  <c r="R39" i="23"/>
  <c r="Z39" i="23" s="1"/>
  <c r="R55" i="23"/>
  <c r="Z55" i="23" s="1"/>
  <c r="R34" i="23"/>
  <c r="Z34" i="23" s="1"/>
  <c r="P41" i="23"/>
  <c r="X41" i="23" s="1"/>
  <c r="Q35" i="23"/>
  <c r="Y35" i="23" s="1"/>
  <c r="Q45" i="23"/>
  <c r="Y45" i="23" s="1"/>
  <c r="Q50" i="23"/>
  <c r="Y50" i="23" s="1"/>
  <c r="R44" i="23"/>
  <c r="Z44" i="23" s="1"/>
  <c r="R47" i="23"/>
  <c r="Z47" i="23" s="1"/>
  <c r="Q55" i="23"/>
  <c r="Y55" i="23" s="1"/>
  <c r="Q37" i="23"/>
  <c r="Y37" i="23" s="1"/>
  <c r="Q31" i="23"/>
  <c r="Y31" i="23" s="1"/>
  <c r="R32" i="23"/>
  <c r="Z32" i="23" s="1"/>
  <c r="R35" i="23"/>
  <c r="Z35" i="23" s="1"/>
  <c r="R40" i="23"/>
  <c r="Z40" i="23" s="1"/>
  <c r="R45" i="23"/>
  <c r="Z45" i="23" s="1"/>
  <c r="R49" i="23"/>
  <c r="Z49" i="23" s="1"/>
  <c r="R50" i="23"/>
  <c r="Z50" i="23" s="1"/>
  <c r="R52" i="23"/>
  <c r="Z52" i="23" s="1"/>
  <c r="Q22" i="23"/>
  <c r="Y22" i="23" s="1"/>
  <c r="Q25" i="23"/>
  <c r="Y25" i="23" s="1"/>
  <c r="Q23" i="23"/>
  <c r="Y23" i="23" s="1"/>
  <c r="Q26" i="23"/>
  <c r="Y26" i="23" s="1"/>
  <c r="R22" i="23"/>
  <c r="Z22" i="23" s="1"/>
  <c r="R26" i="23"/>
  <c r="Z26" i="23" s="1"/>
  <c r="O26" i="23"/>
  <c r="W26" i="23" s="1"/>
  <c r="O40" i="23"/>
  <c r="W40" i="23" s="1"/>
  <c r="O46" i="23"/>
  <c r="W46" i="23" s="1"/>
  <c r="O58" i="23"/>
  <c r="W58" i="23" s="1"/>
  <c r="O41" i="23"/>
  <c r="W41" i="23" s="1"/>
  <c r="O53" i="23"/>
  <c r="W53" i="23" s="1"/>
  <c r="O25" i="23"/>
  <c r="W25" i="23" s="1"/>
  <c r="O43" i="23"/>
  <c r="W43" i="23" s="1"/>
  <c r="O48" i="23"/>
  <c r="W48" i="23" s="1"/>
  <c r="O45" i="23"/>
  <c r="W45" i="23" s="1"/>
  <c r="O35" i="23"/>
  <c r="W35" i="23" s="1"/>
  <c r="O36" i="23"/>
  <c r="W36" i="23" s="1"/>
  <c r="O38" i="23"/>
  <c r="W38" i="23" s="1"/>
  <c r="O60" i="22"/>
  <c r="W60" i="22" s="1"/>
  <c r="S16" i="23"/>
  <c r="S17" i="23" s="1"/>
  <c r="S19" i="23" s="1"/>
  <c r="Q30" i="23" s="1"/>
  <c r="Y30" i="23" s="1"/>
  <c r="P42" i="22"/>
  <c r="X42" i="22" s="1"/>
  <c r="P36" i="22"/>
  <c r="X36" i="22" s="1"/>
  <c r="P48" i="22"/>
  <c r="X48" i="22" s="1"/>
  <c r="M61" i="22"/>
  <c r="O56" i="23"/>
  <c r="W56" i="23" s="1"/>
  <c r="O51" i="23"/>
  <c r="W51" i="23" s="1"/>
  <c r="K61" i="23"/>
  <c r="P43" i="23"/>
  <c r="X43" i="23" s="1"/>
  <c r="P55" i="23"/>
  <c r="X55" i="23" s="1"/>
  <c r="P50" i="23"/>
  <c r="X50" i="23" s="1"/>
  <c r="P52" i="23"/>
  <c r="X52" i="23" s="1"/>
  <c r="P42" i="23"/>
  <c r="X42" i="23" s="1"/>
  <c r="P48" i="23"/>
  <c r="X48" i="23" s="1"/>
  <c r="P47" i="23"/>
  <c r="X47" i="23" s="1"/>
  <c r="P36" i="23"/>
  <c r="X36" i="23" s="1"/>
  <c r="P38" i="23"/>
  <c r="X38" i="23" s="1"/>
  <c r="P53" i="23"/>
  <c r="X53" i="23" s="1"/>
  <c r="P58" i="23"/>
  <c r="X58" i="23" s="1"/>
  <c r="P32" i="23"/>
  <c r="X32" i="23" s="1"/>
  <c r="P60" i="23"/>
  <c r="X60" i="23" s="1"/>
  <c r="P25" i="23"/>
  <c r="X25" i="23" s="1"/>
  <c r="D17" i="23"/>
  <c r="G61" i="23"/>
  <c r="P23" i="23"/>
  <c r="X23" i="23" s="1"/>
  <c r="I61" i="23"/>
  <c r="R16" i="23"/>
  <c r="R17" i="23" s="1"/>
  <c r="R19" i="23" s="1"/>
  <c r="P31" i="23" s="1"/>
  <c r="X31" i="23" s="1"/>
  <c r="T16" i="23"/>
  <c r="T17" i="23" s="1"/>
  <c r="T19" i="23" s="1"/>
  <c r="R30" i="23" s="1"/>
  <c r="Z30" i="23" s="1"/>
  <c r="L8" i="23"/>
  <c r="E17" i="23" s="1"/>
  <c r="Q49" i="23"/>
  <c r="Y49" i="23" s="1"/>
  <c r="Q44" i="23"/>
  <c r="Y44" i="23" s="1"/>
  <c r="Q39" i="23"/>
  <c r="Y39" i="23" s="1"/>
  <c r="Q34" i="23"/>
  <c r="Y34" i="23" s="1"/>
  <c r="Q53" i="23"/>
  <c r="Y53" i="23" s="1"/>
  <c r="Q48" i="23"/>
  <c r="Y48" i="23" s="1"/>
  <c r="Q38" i="23"/>
  <c r="Y38" i="23" s="1"/>
  <c r="Q56" i="23"/>
  <c r="Y56" i="23" s="1"/>
  <c r="Q51" i="23"/>
  <c r="Y51" i="23" s="1"/>
  <c r="Q46" i="23"/>
  <c r="Y46" i="23" s="1"/>
  <c r="Q58" i="23"/>
  <c r="Y58" i="23" s="1"/>
  <c r="Q41" i="23"/>
  <c r="Y41" i="23" s="1"/>
  <c r="Q36" i="23"/>
  <c r="Y36" i="23" s="1"/>
  <c r="Q43" i="23"/>
  <c r="Y43" i="23" s="1"/>
  <c r="Q57" i="23"/>
  <c r="Y57" i="23" s="1"/>
  <c r="Q52" i="23"/>
  <c r="Y52" i="23" s="1"/>
  <c r="Q47" i="23"/>
  <c r="Y47" i="23" s="1"/>
  <c r="Q42" i="23"/>
  <c r="Y42" i="23" s="1"/>
  <c r="Q59" i="23"/>
  <c r="Y59" i="23" s="1"/>
  <c r="Q54" i="23"/>
  <c r="Y54" i="23" s="1"/>
  <c r="Q32" i="23"/>
  <c r="Y32" i="23" s="1"/>
  <c r="Q40" i="23"/>
  <c r="Y40" i="23" s="1"/>
  <c r="M61" i="23"/>
  <c r="P22" i="23"/>
  <c r="X22" i="23" s="1"/>
  <c r="R23" i="23"/>
  <c r="Z23" i="23" s="1"/>
  <c r="P26" i="23"/>
  <c r="X26" i="23" s="1"/>
  <c r="R31" i="23"/>
  <c r="Z31" i="23" s="1"/>
  <c r="O32" i="23"/>
  <c r="W32" i="23" s="1"/>
  <c r="P35" i="23"/>
  <c r="X35" i="23" s="1"/>
  <c r="R37" i="23"/>
  <c r="Z37" i="23" s="1"/>
  <c r="P40" i="23"/>
  <c r="X40" i="23" s="1"/>
  <c r="P45" i="23"/>
  <c r="X45" i="23" s="1"/>
  <c r="O50" i="23"/>
  <c r="W50" i="23" s="1"/>
  <c r="R54" i="23"/>
  <c r="Z54" i="23" s="1"/>
  <c r="O55" i="23"/>
  <c r="W55" i="23" s="1"/>
  <c r="R59" i="23"/>
  <c r="Z59" i="23" s="1"/>
  <c r="O60" i="23"/>
  <c r="W60" i="23" s="1"/>
  <c r="P24" i="23"/>
  <c r="X24" i="23" s="1"/>
  <c r="R25" i="23"/>
  <c r="Z25" i="23" s="1"/>
  <c r="O34" i="23"/>
  <c r="W34" i="23" s="1"/>
  <c r="R38" i="23"/>
  <c r="Z38" i="23" s="1"/>
  <c r="O39" i="23"/>
  <c r="W39" i="23" s="1"/>
  <c r="R43" i="23"/>
  <c r="Z43" i="23" s="1"/>
  <c r="O44" i="23"/>
  <c r="W44" i="23" s="1"/>
  <c r="P46" i="23"/>
  <c r="X46" i="23" s="1"/>
  <c r="R48" i="23"/>
  <c r="Z48" i="23" s="1"/>
  <c r="O49" i="23"/>
  <c r="W49" i="23" s="1"/>
  <c r="P51" i="23"/>
  <c r="X51" i="23" s="1"/>
  <c r="R53" i="23"/>
  <c r="Z53" i="23" s="1"/>
  <c r="P56" i="23"/>
  <c r="X56" i="23" s="1"/>
  <c r="O23" i="23"/>
  <c r="W23" i="23" s="1"/>
  <c r="Q24" i="23"/>
  <c r="Y24" i="23" s="1"/>
  <c r="O31" i="23"/>
  <c r="W31" i="23" s="1"/>
  <c r="P34" i="23"/>
  <c r="X34" i="23" s="1"/>
  <c r="R36" i="23"/>
  <c r="Z36" i="23" s="1"/>
  <c r="O37" i="23"/>
  <c r="W37" i="23" s="1"/>
  <c r="P39" i="23"/>
  <c r="X39" i="23" s="1"/>
  <c r="R41" i="23"/>
  <c r="Z41" i="23" s="1"/>
  <c r="P44" i="23"/>
  <c r="X44" i="23" s="1"/>
  <c r="P49" i="23"/>
  <c r="X49" i="23" s="1"/>
  <c r="O54" i="23"/>
  <c r="W54" i="23" s="1"/>
  <c r="R58" i="23"/>
  <c r="Z58" i="23" s="1"/>
  <c r="O59" i="23"/>
  <c r="W59" i="23" s="1"/>
  <c r="O24" i="23"/>
  <c r="W24" i="23" s="1"/>
  <c r="R24" i="23"/>
  <c r="Z24" i="23" s="1"/>
  <c r="P37" i="23"/>
  <c r="X37" i="23" s="1"/>
  <c r="O42" i="23"/>
  <c r="W42" i="23" s="1"/>
  <c r="R46" i="23"/>
  <c r="Z46" i="23" s="1"/>
  <c r="O47" i="23"/>
  <c r="W47" i="23" s="1"/>
  <c r="R51" i="23"/>
  <c r="Z51" i="23" s="1"/>
  <c r="O52" i="23"/>
  <c r="W52" i="23" s="1"/>
  <c r="P54" i="23"/>
  <c r="X54" i="23" s="1"/>
  <c r="O57" i="23"/>
  <c r="W57" i="23" s="1"/>
  <c r="P38" i="22"/>
  <c r="X38" i="22" s="1"/>
  <c r="P43" i="22"/>
  <c r="X43" i="22" s="1"/>
  <c r="P53" i="22"/>
  <c r="X53" i="22" s="1"/>
  <c r="P41" i="22"/>
  <c r="X41" i="22" s="1"/>
  <c r="P25" i="22"/>
  <c r="X25" i="22" s="1"/>
  <c r="P30" i="22"/>
  <c r="X30" i="22" s="1"/>
  <c r="P35" i="22"/>
  <c r="X35" i="22" s="1"/>
  <c r="P46" i="22"/>
  <c r="X46" i="22" s="1"/>
  <c r="P57" i="22"/>
  <c r="X57" i="22" s="1"/>
  <c r="O32" i="22"/>
  <c r="W32" i="22" s="1"/>
  <c r="O45" i="22"/>
  <c r="W45" i="22" s="1"/>
  <c r="O34" i="22"/>
  <c r="W34" i="22" s="1"/>
  <c r="O55" i="22"/>
  <c r="W55" i="22" s="1"/>
  <c r="O35" i="22"/>
  <c r="W35" i="22" s="1"/>
  <c r="O50" i="22"/>
  <c r="W50" i="22" s="1"/>
  <c r="O39" i="22"/>
  <c r="W39" i="22" s="1"/>
  <c r="O40" i="22"/>
  <c r="W40" i="22" s="1"/>
  <c r="O46" i="22"/>
  <c r="W46" i="22" s="1"/>
  <c r="O56" i="22"/>
  <c r="W56" i="22" s="1"/>
  <c r="O36" i="22"/>
  <c r="W36" i="22" s="1"/>
  <c r="O44" i="22"/>
  <c r="W44" i="22" s="1"/>
  <c r="P45" i="22"/>
  <c r="X45" i="22" s="1"/>
  <c r="P58" i="22"/>
  <c r="X58" i="22" s="1"/>
  <c r="P47" i="22"/>
  <c r="X47" i="22" s="1"/>
  <c r="T23" i="22"/>
  <c r="T24" i="22"/>
  <c r="T26" i="22"/>
  <c r="P22" i="22"/>
  <c r="X22" i="22" s="1"/>
  <c r="P24" i="22"/>
  <c r="X24" i="22" s="1"/>
  <c r="O58" i="22"/>
  <c r="W58" i="22" s="1"/>
  <c r="S25" i="22"/>
  <c r="O23" i="22"/>
  <c r="W23" i="22" s="1"/>
  <c r="O25" i="22"/>
  <c r="W25" i="22" s="1"/>
  <c r="S23" i="22"/>
  <c r="O24" i="22"/>
  <c r="W24" i="22" s="1"/>
  <c r="S22" i="22"/>
  <c r="O26" i="22"/>
  <c r="W26" i="22" s="1"/>
  <c r="S24" i="22"/>
  <c r="O22" i="22"/>
  <c r="W22" i="22" s="1"/>
  <c r="S26" i="22"/>
  <c r="R56" i="22"/>
  <c r="Z56" i="22" s="1"/>
  <c r="R51" i="22"/>
  <c r="Z51" i="22" s="1"/>
  <c r="R46" i="22"/>
  <c r="Z46" i="22" s="1"/>
  <c r="R58" i="22"/>
  <c r="Z58" i="22" s="1"/>
  <c r="R41" i="22"/>
  <c r="Z41" i="22" s="1"/>
  <c r="R36" i="22"/>
  <c r="Z36" i="22" s="1"/>
  <c r="R30" i="22"/>
  <c r="Z30" i="22" s="1"/>
  <c r="R57" i="22"/>
  <c r="Z57" i="22" s="1"/>
  <c r="R52" i="22"/>
  <c r="Z52" i="22" s="1"/>
  <c r="R42" i="22"/>
  <c r="Z42" i="22" s="1"/>
  <c r="R50" i="22"/>
  <c r="Z50" i="22" s="1"/>
  <c r="R40" i="22"/>
  <c r="Z40" i="22" s="1"/>
  <c r="R32" i="22"/>
  <c r="Z32" i="22" s="1"/>
  <c r="R34" i="22"/>
  <c r="Z34" i="22" s="1"/>
  <c r="R38" i="22"/>
  <c r="Z38" i="22" s="1"/>
  <c r="R43" i="22"/>
  <c r="Z43" i="22" s="1"/>
  <c r="R31" i="22"/>
  <c r="Z31" i="22" s="1"/>
  <c r="R54" i="22"/>
  <c r="Z54" i="22" s="1"/>
  <c r="R49" i="22"/>
  <c r="Z49" i="22" s="1"/>
  <c r="R45" i="22"/>
  <c r="Z45" i="22" s="1"/>
  <c r="R59" i="22"/>
  <c r="Z59" i="22" s="1"/>
  <c r="R35" i="22"/>
  <c r="Z35" i="22" s="1"/>
  <c r="K61" i="22"/>
  <c r="Q49" i="22"/>
  <c r="Y49" i="22" s="1"/>
  <c r="Q44" i="22"/>
  <c r="Y44" i="22" s="1"/>
  <c r="Q39" i="22"/>
  <c r="Y39" i="22" s="1"/>
  <c r="Q34" i="22"/>
  <c r="Y34" i="22" s="1"/>
  <c r="Q51" i="22"/>
  <c r="Y51" i="22" s="1"/>
  <c r="Q46" i="22"/>
  <c r="Y46" i="22" s="1"/>
  <c r="Q58" i="22"/>
  <c r="Y58" i="22" s="1"/>
  <c r="Q35" i="22"/>
  <c r="Y35" i="22" s="1"/>
  <c r="Q50" i="22"/>
  <c r="Y50" i="22" s="1"/>
  <c r="Q47" i="22"/>
  <c r="Y47" i="22" s="1"/>
  <c r="Q41" i="22"/>
  <c r="Y41" i="22" s="1"/>
  <c r="Q32" i="22"/>
  <c r="Y32" i="22" s="1"/>
  <c r="Q60" i="22"/>
  <c r="Y60" i="22" s="1"/>
  <c r="Q57" i="22"/>
  <c r="Y57" i="22" s="1"/>
  <c r="Q54" i="22"/>
  <c r="Y54" i="22" s="1"/>
  <c r="Q30" i="22"/>
  <c r="Y30" i="22" s="1"/>
  <c r="G61" i="22"/>
  <c r="T25" i="22"/>
  <c r="P23" i="22"/>
  <c r="X23" i="22" s="1"/>
  <c r="P26" i="22"/>
  <c r="X26" i="22" s="1"/>
  <c r="I61" i="22"/>
  <c r="S16" i="22"/>
  <c r="S17" i="22" s="1"/>
  <c r="S19" i="22" s="1"/>
  <c r="Q36" i="22" s="1"/>
  <c r="Y36" i="22" s="1"/>
  <c r="Q22" i="22"/>
  <c r="Y22" i="22" s="1"/>
  <c r="U24" i="22"/>
  <c r="Q26" i="22"/>
  <c r="Y26" i="22" s="1"/>
  <c r="P32" i="22"/>
  <c r="X32" i="22" s="1"/>
  <c r="O38" i="22"/>
  <c r="W38" i="22" s="1"/>
  <c r="P50" i="22"/>
  <c r="X50" i="22" s="1"/>
  <c r="O53" i="22"/>
  <c r="W53" i="22" s="1"/>
  <c r="P55" i="22"/>
  <c r="X55" i="22" s="1"/>
  <c r="P60" i="22"/>
  <c r="X60" i="22" s="1"/>
  <c r="P51" i="22"/>
  <c r="X51" i="22" s="1"/>
  <c r="P56" i="22"/>
  <c r="X56" i="22" s="1"/>
  <c r="U22" i="22"/>
  <c r="Q24" i="22"/>
  <c r="Y24" i="22" s="1"/>
  <c r="O31" i="22"/>
  <c r="W31" i="22" s="1"/>
  <c r="P34" i="22"/>
  <c r="X34" i="22" s="1"/>
  <c r="O37" i="22"/>
  <c r="W37" i="22" s="1"/>
  <c r="P39" i="22"/>
  <c r="X39" i="22" s="1"/>
  <c r="P49" i="22"/>
  <c r="X49" i="22" s="1"/>
  <c r="O54" i="22"/>
  <c r="W54" i="22" s="1"/>
  <c r="V22" i="22"/>
  <c r="R24" i="22"/>
  <c r="Z24" i="22" s="1"/>
  <c r="P31" i="22"/>
  <c r="X31" i="22" s="1"/>
  <c r="P37" i="22"/>
  <c r="X37" i="22" s="1"/>
  <c r="O42" i="22"/>
  <c r="W42" i="22" s="1"/>
  <c r="O52" i="22"/>
  <c r="W52" i="22" s="1"/>
  <c r="P54" i="22"/>
  <c r="X54" i="22" s="1"/>
  <c r="O57" i="22"/>
  <c r="W57" i="22" s="1"/>
  <c r="O47" i="6"/>
  <c r="N47" i="6"/>
  <c r="O48" i="6"/>
  <c r="N48" i="6"/>
  <c r="O10" i="6"/>
  <c r="N10" i="6"/>
  <c r="O13" i="6"/>
  <c r="N13" i="6"/>
  <c r="P30" i="23" l="1"/>
  <c r="X30" i="23" s="1"/>
  <c r="X66" i="23" s="1"/>
  <c r="H66" i="23" s="1"/>
  <c r="V74" i="22"/>
  <c r="L74" i="22" s="1"/>
  <c r="P44" i="22"/>
  <c r="X44" i="22" s="1"/>
  <c r="R44" i="22"/>
  <c r="Z44" i="22" s="1"/>
  <c r="R55" i="22"/>
  <c r="Z55" i="22" s="1"/>
  <c r="R47" i="22"/>
  <c r="Z47" i="22" s="1"/>
  <c r="R48" i="22"/>
  <c r="Z48" i="22" s="1"/>
  <c r="R39" i="22"/>
  <c r="Z39" i="22" s="1"/>
  <c r="R53" i="22"/>
  <c r="Z53" i="22" s="1"/>
  <c r="R60" i="22"/>
  <c r="Z60" i="22" s="1"/>
  <c r="Q31" i="22"/>
  <c r="Y31" i="22" s="1"/>
  <c r="Q45" i="22"/>
  <c r="Y45" i="22" s="1"/>
  <c r="Q56" i="22"/>
  <c r="Y56" i="22" s="1"/>
  <c r="Q52" i="22"/>
  <c r="Y52" i="22" s="1"/>
  <c r="Q48" i="22"/>
  <c r="Y48" i="22" s="1"/>
  <c r="Q40" i="22"/>
  <c r="Y40" i="22" s="1"/>
  <c r="Q59" i="22"/>
  <c r="Y59" i="22" s="1"/>
  <c r="P52" i="22"/>
  <c r="X52" i="22" s="1"/>
  <c r="O49" i="22"/>
  <c r="W49" i="22" s="1"/>
  <c r="O30" i="22"/>
  <c r="W30" i="22" s="1"/>
  <c r="O47" i="22"/>
  <c r="W47" i="22" s="1"/>
  <c r="O59" i="22"/>
  <c r="W59" i="22" s="1"/>
  <c r="O43" i="22"/>
  <c r="W43" i="22" s="1"/>
  <c r="O48" i="22"/>
  <c r="W48" i="22" s="1"/>
  <c r="Z64" i="22"/>
  <c r="L64" i="22" s="1"/>
  <c r="U74" i="22"/>
  <c r="J74" i="22" s="1"/>
  <c r="U74" i="23"/>
  <c r="J74" i="23" s="1"/>
  <c r="Y64" i="23"/>
  <c r="J64" i="23" s="1"/>
  <c r="W66" i="23"/>
  <c r="F66" i="23" s="1"/>
  <c r="S74" i="23"/>
  <c r="F74" i="23" s="1"/>
  <c r="T74" i="22"/>
  <c r="H74" i="22" s="1"/>
  <c r="U76" i="22"/>
  <c r="J76" i="22" s="1"/>
  <c r="Z64" i="23"/>
  <c r="L64" i="23" s="1"/>
  <c r="V76" i="23"/>
  <c r="L76" i="23" s="1"/>
  <c r="Z66" i="23"/>
  <c r="L66" i="23" s="1"/>
  <c r="T76" i="23"/>
  <c r="H76" i="23" s="1"/>
  <c r="V74" i="23"/>
  <c r="L74" i="23" s="1"/>
  <c r="T74" i="23"/>
  <c r="H74" i="23" s="1"/>
  <c r="U76" i="23"/>
  <c r="J76" i="23" s="1"/>
  <c r="X64" i="23"/>
  <c r="Y66" i="23"/>
  <c r="S76" i="23"/>
  <c r="F76" i="23" s="1"/>
  <c r="W64" i="23"/>
  <c r="T76" i="22"/>
  <c r="H76" i="22" s="1"/>
  <c r="X64" i="22"/>
  <c r="V76" i="22"/>
  <c r="L76" i="22" s="1"/>
  <c r="Y64" i="22"/>
  <c r="J64" i="22" s="1"/>
  <c r="W64" i="22"/>
  <c r="S76" i="22"/>
  <c r="F76" i="22" s="1"/>
  <c r="S74" i="22"/>
  <c r="F74" i="22" s="1"/>
  <c r="L78" i="22" l="1"/>
  <c r="X66" i="22"/>
  <c r="H66" i="22" s="1"/>
  <c r="Z66" i="22"/>
  <c r="Z68" i="22" s="1"/>
  <c r="L68" i="22" s="1"/>
  <c r="Y66" i="22"/>
  <c r="J66" i="22" s="1"/>
  <c r="W66" i="22"/>
  <c r="F66" i="22" s="1"/>
  <c r="J78" i="22"/>
  <c r="J78" i="23"/>
  <c r="Y68" i="23"/>
  <c r="J68" i="23" s="1"/>
  <c r="J72" i="23" s="1"/>
  <c r="Q72" i="23" s="1"/>
  <c r="J66" i="23"/>
  <c r="F78" i="23"/>
  <c r="H78" i="22"/>
  <c r="Z68" i="23"/>
  <c r="L78" i="23"/>
  <c r="H78" i="23"/>
  <c r="X68" i="23"/>
  <c r="H64" i="23"/>
  <c r="W68" i="23"/>
  <c r="F64" i="23"/>
  <c r="H64" i="22"/>
  <c r="F64" i="22"/>
  <c r="F78" i="22"/>
  <c r="X68" i="22" l="1"/>
  <c r="H68" i="22" s="1"/>
  <c r="H72" i="22" s="1"/>
  <c r="P72" i="22" s="1"/>
  <c r="L66" i="22"/>
  <c r="Y68" i="22"/>
  <c r="J68" i="22" s="1"/>
  <c r="J72" i="22" s="1"/>
  <c r="Q72" i="22" s="1"/>
  <c r="W68" i="22"/>
  <c r="F68" i="22" s="1"/>
  <c r="F72" i="22" s="1"/>
  <c r="O72" i="22" s="1"/>
  <c r="S72" i="22" s="1"/>
  <c r="L72" i="22"/>
  <c r="R72" i="22" s="1"/>
  <c r="V72" i="22" s="1"/>
  <c r="L68" i="23"/>
  <c r="L72" i="23" s="1"/>
  <c r="R72" i="23" s="1"/>
  <c r="V72" i="23" s="1"/>
  <c r="U72" i="23"/>
  <c r="T72" i="23"/>
  <c r="F68" i="23"/>
  <c r="F72" i="23" s="1"/>
  <c r="O72" i="23" s="1"/>
  <c r="S72" i="23" s="1"/>
  <c r="H68" i="23"/>
  <c r="H72" i="23" s="1"/>
  <c r="P72" i="23" s="1"/>
  <c r="W72" i="23" l="1"/>
  <c r="O73" i="23" s="1"/>
  <c r="F73" i="23" s="1"/>
  <c r="U72" i="22"/>
  <c r="T72" i="22"/>
  <c r="W72" i="22" l="1"/>
  <c r="O73" i="22" s="1"/>
  <c r="F73" i="22" s="1"/>
</calcChain>
</file>

<file path=xl/comments1.xml><?xml version="1.0" encoding="utf-8"?>
<comments xmlns="http://schemas.openxmlformats.org/spreadsheetml/2006/main">
  <authors>
    <author>Allan Jensen</author>
  </authors>
  <commentList>
    <comment ref="O21" authorId="0">
      <text>
        <r>
          <rPr>
            <b/>
            <sz val="9"/>
            <color indexed="81"/>
            <rFont val="Tahoma"/>
            <family val="2"/>
          </rPr>
          <t>Allan Jensen:</t>
        </r>
        <r>
          <rPr>
            <sz val="9"/>
            <color indexed="81"/>
            <rFont val="Tahoma"/>
            <family val="2"/>
          </rPr>
          <t xml:space="preserve">
Korrektion for ref. tidsrum og antal leveringer er indarbejdet i formlerne
</t>
        </r>
      </text>
    </comment>
    <comment ref="O28" authorId="0">
      <text>
        <r>
          <rPr>
            <b/>
            <sz val="9"/>
            <color indexed="81"/>
            <rFont val="Tahoma"/>
            <family val="2"/>
          </rPr>
          <t>Allan Jensen:</t>
        </r>
        <r>
          <rPr>
            <sz val="9"/>
            <color indexed="81"/>
            <rFont val="Tahoma"/>
            <family val="2"/>
          </rPr>
          <t xml:space="preserve">
Korrektion for antal og leveringens varighed er indarbejdet</t>
        </r>
      </text>
    </comment>
  </commentList>
</comments>
</file>

<file path=xl/comments2.xml><?xml version="1.0" encoding="utf-8"?>
<comments xmlns="http://schemas.openxmlformats.org/spreadsheetml/2006/main">
  <authors>
    <author>Allan Jensen</author>
  </authors>
  <commentList>
    <comment ref="O21" authorId="0">
      <text>
        <r>
          <rPr>
            <b/>
            <sz val="9"/>
            <color indexed="81"/>
            <rFont val="Tahoma"/>
            <family val="2"/>
          </rPr>
          <t>Allan Jensen:</t>
        </r>
        <r>
          <rPr>
            <sz val="9"/>
            <color indexed="81"/>
            <rFont val="Tahoma"/>
            <family val="2"/>
          </rPr>
          <t xml:space="preserve">
Korrektion for ref. tidsrum og antal leveringer er indarbejdet i formlerne
</t>
        </r>
      </text>
    </comment>
    <comment ref="O28" authorId="0">
      <text>
        <r>
          <rPr>
            <b/>
            <sz val="9"/>
            <color indexed="81"/>
            <rFont val="Tahoma"/>
            <family val="2"/>
          </rPr>
          <t>Allan Jensen:</t>
        </r>
        <r>
          <rPr>
            <sz val="9"/>
            <color indexed="81"/>
            <rFont val="Tahoma"/>
            <family val="2"/>
          </rPr>
          <t xml:space="preserve">
Korrektion for antal og leveringens varighed er indarbejdet</t>
        </r>
      </text>
    </comment>
  </commentList>
</comments>
</file>

<file path=xl/sharedStrings.xml><?xml version="1.0" encoding="utf-8"?>
<sst xmlns="http://schemas.openxmlformats.org/spreadsheetml/2006/main" count="1280" uniqueCount="552">
  <si>
    <t>Kørsel</t>
  </si>
  <si>
    <t>Kildeområde: Hårdt terræn</t>
  </si>
  <si>
    <t>Modtagerområde: Hårdt terræn</t>
  </si>
  <si>
    <t>Ved afstande over 90 meter vil en forudsætning om hårdt terræn også for midterområdet medføre terrænkorrektioner på over 3 dB og stigende med øget afstand til lidt under 6 dB ved afstande over ca. 500 meter.</t>
  </si>
  <si>
    <t>Det vil oftest være tilfældet, at vareleveringen sker så tæt på en bygningsfacade, at støjen reflekteres, svarende til en korrektion på +3 dB.</t>
  </si>
  <si>
    <t>Beregningsmodellen forudsætter, at støjen udbredes frit i alle retninger. Der kan ikke indregnes effekten af afskærmende bygninger, støjskærme etc.</t>
  </si>
  <si>
    <t>Periode</t>
  </si>
  <si>
    <t>Natperioden 22 - 07</t>
  </si>
  <si>
    <t>Aftenperioden 18 - 22</t>
  </si>
  <si>
    <t>Søn- og helligdage 7 - 18</t>
  </si>
  <si>
    <t>Lørdag eftermiddag 14 - 18</t>
  </si>
  <si>
    <t>Lørdag formiddag 7 - 14</t>
  </si>
  <si>
    <t>Dagperioden, hverdage 7 - 18</t>
  </si>
  <si>
    <t>Køretøjstype</t>
  </si>
  <si>
    <t>Kildestyrke, LWA i dB</t>
  </si>
  <si>
    <t>Materiel til aflæsning og opbevaring af varer</t>
  </si>
  <si>
    <t>Typisk driftstid</t>
  </si>
  <si>
    <t>Kildestyrke for maksimal-værdi</t>
  </si>
  <si>
    <t>Sæt X ved den køretøjstype der anvendes i hver type varelevering</t>
  </si>
  <si>
    <t>1. Valg af beregningsperiode</t>
  </si>
  <si>
    <t>Varighed for hver enkelt aflæsseoperation, minutter</t>
  </si>
  <si>
    <r>
      <t>Kildestyrke for maksimal-værdi, L</t>
    </r>
    <r>
      <rPr>
        <b/>
        <vertAlign val="subscript"/>
        <sz val="9"/>
        <color theme="1"/>
        <rFont val="Verdana"/>
        <family val="2"/>
      </rPr>
      <t>WA</t>
    </r>
    <r>
      <rPr>
        <b/>
        <sz val="9"/>
        <color theme="1"/>
        <rFont val="Verdana"/>
        <family val="2"/>
      </rPr>
      <t xml:space="preserve"> i dB</t>
    </r>
  </si>
  <si>
    <r>
      <t>Kildestyrke, L</t>
    </r>
    <r>
      <rPr>
        <b/>
        <vertAlign val="subscript"/>
        <sz val="9"/>
        <color theme="1"/>
        <rFont val="Verdana"/>
        <family val="2"/>
      </rPr>
      <t>WA</t>
    </r>
    <r>
      <rPr>
        <b/>
        <sz val="9"/>
        <color theme="1"/>
        <rFont val="Verdana"/>
        <family val="2"/>
      </rPr>
      <t xml:space="preserve"> i dB</t>
    </r>
  </si>
  <si>
    <t>Tidsrum for midling af støj, timer</t>
  </si>
  <si>
    <t>Støj fra køretøjer</t>
  </si>
  <si>
    <t>Det er forudsat, at der er en samlet kørevej på 20 meter på virksomhedens område. Den samlede kørsel ved en varelevering er dermed 2 x 20 meter.</t>
  </si>
  <si>
    <t>Konstant støj</t>
  </si>
  <si>
    <t>LAmax</t>
  </si>
  <si>
    <r>
      <t>Støj fra køretøjer, L</t>
    </r>
    <r>
      <rPr>
        <vertAlign val="subscript"/>
        <sz val="12"/>
        <color theme="1"/>
        <rFont val="Verdana"/>
        <family val="2"/>
      </rPr>
      <t>Aeq</t>
    </r>
    <r>
      <rPr>
        <sz val="12"/>
        <color theme="1"/>
        <rFont val="Verdana"/>
        <family val="2"/>
      </rPr>
      <t xml:space="preserve"> i dB</t>
    </r>
  </si>
  <si>
    <r>
      <t>Støj fra aflæsseoperation,  L</t>
    </r>
    <r>
      <rPr>
        <vertAlign val="subscript"/>
        <sz val="12"/>
        <color theme="1"/>
        <rFont val="Verdana"/>
        <family val="2"/>
      </rPr>
      <t>Aeq</t>
    </r>
    <r>
      <rPr>
        <sz val="12"/>
        <color theme="1"/>
        <rFont val="Verdana"/>
        <family val="2"/>
      </rPr>
      <t xml:space="preserve"> i dB</t>
    </r>
  </si>
  <si>
    <r>
      <t>Samlet støj, L</t>
    </r>
    <r>
      <rPr>
        <vertAlign val="subscript"/>
        <sz val="12"/>
        <color theme="1"/>
        <rFont val="Verdana"/>
        <family val="2"/>
      </rPr>
      <t>Aeq</t>
    </r>
    <r>
      <rPr>
        <sz val="12"/>
        <color theme="1"/>
        <rFont val="Verdana"/>
        <family val="2"/>
      </rPr>
      <t xml:space="preserve"> i dB</t>
    </r>
  </si>
  <si>
    <t>Korrektion for impulser, dB</t>
  </si>
  <si>
    <r>
      <t>Maksimalværdi, støj fra køretøjer, L</t>
    </r>
    <r>
      <rPr>
        <vertAlign val="subscript"/>
        <sz val="12"/>
        <color theme="1"/>
        <rFont val="Verdana"/>
        <family val="2"/>
      </rPr>
      <t>pAmax</t>
    </r>
    <r>
      <rPr>
        <sz val="12"/>
        <color theme="1"/>
        <rFont val="Verdana"/>
        <family val="2"/>
      </rPr>
      <t xml:space="preserve"> i dB</t>
    </r>
  </si>
  <si>
    <r>
      <t>Maksimalværdi, støj fra aflæsseoperation, L</t>
    </r>
    <r>
      <rPr>
        <vertAlign val="subscript"/>
        <sz val="12"/>
        <color theme="1"/>
        <rFont val="Verdana"/>
        <family val="2"/>
      </rPr>
      <t>pAmax</t>
    </r>
    <r>
      <rPr>
        <sz val="12"/>
        <color theme="1"/>
        <rFont val="Verdana"/>
        <family val="2"/>
      </rPr>
      <t xml:space="preserve"> i dB</t>
    </r>
  </si>
  <si>
    <r>
      <t>Største maksimalværdi, L</t>
    </r>
    <r>
      <rPr>
        <b/>
        <vertAlign val="subscript"/>
        <sz val="12"/>
        <color theme="1"/>
        <rFont val="Verdana"/>
        <family val="2"/>
      </rPr>
      <t>pAmax</t>
    </r>
    <r>
      <rPr>
        <b/>
        <sz val="12"/>
        <color theme="1"/>
        <rFont val="Verdana"/>
        <family val="2"/>
      </rPr>
      <t xml:space="preserve"> i dB (kun relevant for natperioden)</t>
    </r>
  </si>
  <si>
    <t xml:space="preserve">Enkel model til overslagsmæssig beregning af støj fra varelevering til butikker </t>
  </si>
  <si>
    <t>Støjen midles over referencetidsrummet på</t>
  </si>
  <si>
    <t>1. Vælg beregningsperiode her</t>
  </si>
  <si>
    <t>Korrektion for driftstid og antal operationer afhængig af referencetidsrum (ikke relevant for køretøjer)</t>
  </si>
  <si>
    <t>3. Afstandsforhold</t>
  </si>
  <si>
    <t>4. Aflæsseoperationer</t>
  </si>
  <si>
    <t>5. Hvilket materiel anvendes?</t>
  </si>
  <si>
    <t>6. Beregningsresultat</t>
  </si>
  <si>
    <t>Tjek for minimum indtastning for beregning</t>
  </si>
  <si>
    <t>Aflæsning</t>
  </si>
  <si>
    <t>Driftstid til ref. tidsrum</t>
  </si>
  <si>
    <t xml:space="preserve">Korr. for antal </t>
  </si>
  <si>
    <t xml:space="preserve">Korr. for driftstid </t>
  </si>
  <si>
    <t>Samlet korrektion</t>
  </si>
  <si>
    <t>KØRSEL. Afstand mellem beregningspunkt og nærmeste punkt på kørevej, meter</t>
  </si>
  <si>
    <t>Antallet af operationer af hver type i referencetidsrummet på</t>
  </si>
  <si>
    <t>AFLÆSNING. Afstand mellem beregningspunkt og læsserampe eller lagerrum, meter</t>
  </si>
  <si>
    <t>Database</t>
  </si>
  <si>
    <t>Støjkilde/aktivitet</t>
  </si>
  <si>
    <t>Refleksion</t>
  </si>
  <si>
    <t>Beskrivelse af målinger</t>
  </si>
  <si>
    <t>El-varevogn Mercedes Vito E-cell, målt ved forbikørsel d. 11. juni 2013</t>
  </si>
  <si>
    <t>Alm. standardlastbil Volvo FM 410 4x2 Euro 5.5, motor, målt ved forbikørsel d. 11. juni 2013</t>
  </si>
  <si>
    <t>Hybridlastbil dieseldrift, Volvo Hybrid lastbil FES62R, målt ved forbikørsel d. 11. juni 2013</t>
  </si>
  <si>
    <t>Hybridlastbil el-drift, Volvo Hybrid lastbil FES62R, målt ved forbikørsel d. 11. juni 2013</t>
  </si>
  <si>
    <t>3. Hybridlastbil på dieseldrift, målt i 2013</t>
  </si>
  <si>
    <t>4. Hybridlastbil på el-drift, målt i 2013</t>
  </si>
  <si>
    <t>5. Varevogn på el-drift, målt i 2013</t>
  </si>
  <si>
    <t>Katalogværdi fra miljøprojekt nr. 596 2001, for alm. lastbil med lav hastighed (5-10 km/t)</t>
  </si>
  <si>
    <t>Lastbil på gasdrift</t>
  </si>
  <si>
    <t>1. Alm. standard lastvogn uden særlig støjdæmpning, 2001</t>
  </si>
  <si>
    <t>Piek - Elpalleløfter</t>
  </si>
  <si>
    <t>Alm. udstyr</t>
  </si>
  <si>
    <t>1 butik</t>
  </si>
  <si>
    <t>a. Samlet traditionel varelevering, uden særlig støjdæmpning</t>
  </si>
  <si>
    <t>b. Samlet varelevering (Nonfood) til lukket læsserampe med almindeligt udstyr</t>
  </si>
  <si>
    <t>c. Samlet varelevering (kølevare) til lukket læsserampe med almindeligt udstyr</t>
  </si>
  <si>
    <t>4 stabler á 5 kasser med tomme flasker fra palleløfter til terræn</t>
  </si>
  <si>
    <t>4 stabler á 5 kasser med tomme flasker fra terræn til palleløfter</t>
  </si>
  <si>
    <t>Afhentning af 10 stk. fustager på paller</t>
  </si>
  <si>
    <t>CC Container (alm.), med belastning</t>
  </si>
  <si>
    <t>CC Container (alm.), uden belastning</t>
  </si>
  <si>
    <t>CC container, stort blomsterbur, traditionel udformning, jævn asfalt. middel af 2 målinger</t>
  </si>
  <si>
    <t>CC container, stort blomsterbur, traditionel udformning, lidt vægt på hyller, ujævnt underlag,måling 1</t>
  </si>
  <si>
    <t>CC container, stort blomsterbur, traditionel udformning, ujævnt underlag. middel af 2 målinger</t>
  </si>
  <si>
    <t>CC Euro Rollcontainer (Piek-cert.), med belastning</t>
  </si>
  <si>
    <t>CC Euro Rollcontainer (Piek-cert.), uden belastning</t>
  </si>
  <si>
    <t>CC Euro Trolley (Piek.), med belastning</t>
  </si>
  <si>
    <t>CC Euro Trolley (Piek.), uden belastning</t>
  </si>
  <si>
    <t>CC Euro Trolley, lille blomsterbur, plasthyller, jævn asfalt. Middel af 2 målinger</t>
  </si>
  <si>
    <t>CC Euro Trolley, lille blomsterbur, plasthyller, ujævnt underlag. Middel af 2 målinger</t>
  </si>
  <si>
    <t>CC Rollcontainer (alm.), med belastning</t>
  </si>
  <si>
    <t>CC Rollcontainer (alm.), uden belastning</t>
  </si>
  <si>
    <t>El-palleløfter køres tom fra vognkasse ud på lift.</t>
  </si>
  <si>
    <t>El-palleløfter med 10 stk. fustager på palle køres op på lift</t>
  </si>
  <si>
    <t>El-palleløfter med 16 kasser tomme flasker køres fra terræn op på lift</t>
  </si>
  <si>
    <t>El-palleløfter med 16 stk. kasser tomme flasker køres ind i vognkasse</t>
  </si>
  <si>
    <t>El-palleløfter med 24 kasser tomme flasker køres fra terræn op på lift</t>
  </si>
  <si>
    <t>El-palleløfter med 24 stk. kasser tomme flasker køres ind i vognkasse</t>
  </si>
  <si>
    <t>Hæve lift fra terræn til vognbund</t>
  </si>
  <si>
    <t>Hævning af lift med el-palleløfter og 24 kasser tomme flasker</t>
  </si>
  <si>
    <t>Håndtering af paller med fustager, kasser med tomme flasker i vognkasse</t>
  </si>
  <si>
    <t>Håndtering af paller med fustager, kasser med tomme flasker på terræn</t>
  </si>
  <si>
    <t>Komplet leverance af en palle øl (simuleret)</t>
  </si>
  <si>
    <t>Kørsel med 24 kasser tomme flasker palle fra terræn til lift (kørestrækning ca. 8 meter.)</t>
  </si>
  <si>
    <t>Kørsel med palle fra lift til terræn (kørestrækning ca. 8 meter.)</t>
  </si>
  <si>
    <t>Lift fra vognbund til lukke</t>
  </si>
  <si>
    <t xml:space="preserve">Lift hæves fra terræn til vandret med 10 fustager på palle </t>
  </si>
  <si>
    <t xml:space="preserve">Lift hæves fra terræn til vandret med 16 kasser tomme flasker </t>
  </si>
  <si>
    <t xml:space="preserve">Lift hæves fra terræn til vandret med 24 kasser tomme flasker </t>
  </si>
  <si>
    <t>Lift køres ned og der køres ud på terræn</t>
  </si>
  <si>
    <t>Lift med el-palleløfter og 24 kasser tomme flasker sænkes til terræn</t>
  </si>
  <si>
    <t xml:space="preserve">Lift med pallevogn på køres op i vandret </t>
  </si>
  <si>
    <t>Lift vippes ned og sænkes, chauffør stiger på og kører til vandret</t>
  </si>
  <si>
    <t>Lukning af lift (alm. lift)</t>
  </si>
  <si>
    <t>Lukning af lift (støjsvag lift)</t>
  </si>
  <si>
    <t>Palle med 10 stk fustager køres ind i vognkasse</t>
  </si>
  <si>
    <t>Palle med 24 kasser tomme flasker køres ud på lift</t>
  </si>
  <si>
    <t>Postbur (lukket låge), jævn asfalt. Middel af 2 målinger</t>
  </si>
  <si>
    <t>Postbur (lukket låge), ujævnt underlag. Middel af 2 målinger</t>
  </si>
  <si>
    <t>Postbur (åben låge), ujævnt underlag. middel af 2 målinger</t>
  </si>
  <si>
    <t>Standard manuel palleløfter, med last, jævn asfalt. middel af 2 målinger</t>
  </si>
  <si>
    <t>Standard manuel palleløfter, med last, ujævnt terræn. Middel af 2 målinger</t>
  </si>
  <si>
    <t>Standard manuel palleløfter, uden last, gafler helt nede, jævn asfalt. Middel af 2 målinger</t>
  </si>
  <si>
    <t>Standard manuel palleløfter, uden last, gafler løftet 5 cm, jævn asfalt. Middel af 2 målinger</t>
  </si>
  <si>
    <t>Standard manuel palleløfter, uden last, ujævnt terræn. Middel af 2 målinger</t>
  </si>
  <si>
    <t>Sækkevogn, specialbygget. Normal vis. Kasser med tomme flasker fra terræn til sækkevogn</t>
  </si>
  <si>
    <t>Sækkevogn, specialbygget. Tomme fustager fra terræn til sækkevogn</t>
  </si>
  <si>
    <t>Sænkning af lift fra vognbund til terræn</t>
  </si>
  <si>
    <t>Sænkning af lift til terræn</t>
  </si>
  <si>
    <t>Udkørsel af 10 stk. fustager på paller fra vognkasse til lift</t>
  </si>
  <si>
    <t>Vognkasse. Normal vis. Palle stables vognbund til stabel. 5 paller</t>
  </si>
  <si>
    <t>Vognkasse. Normal vis. Samlet måling af støj fra aflæsning af fustager + opsætning af afstivning i vognkasse (afstivning anvendes normalt ikke på ruter men er monteret fra lager)</t>
  </si>
  <si>
    <t>Vognkasse. Normal vis. Tomme fustager fra palleløfter til vognbund. 9 enheder</t>
  </si>
  <si>
    <t>Vognkasse. Normal vis. Ølkasser med tomme flasker fra vognbund til stabel. 9 enheder</t>
  </si>
  <si>
    <t>Vognkasse. Normalt vis. Palle stables fra stabel til vognbund. 5 paller</t>
  </si>
  <si>
    <t>Vognkasse. Palleløfter med ølkasser (tomme flasker) og tomme fustager fra lift til vognbund</t>
  </si>
  <si>
    <t>Håndtering på terræn</t>
  </si>
  <si>
    <t>Alm. lift</t>
  </si>
  <si>
    <t>Normalt</t>
  </si>
  <si>
    <t>El-palleløfter</t>
  </si>
  <si>
    <t>Asfaltbelægning</t>
  </si>
  <si>
    <t>Flisebelægning</t>
  </si>
  <si>
    <t>Alm. palleløfter</t>
  </si>
  <si>
    <t>Kørsel, jævn asfalt</t>
  </si>
  <si>
    <t>Kørsel, ujævnt underlag</t>
  </si>
  <si>
    <t>Blomstercontainer</t>
  </si>
  <si>
    <t>Stor blomsterbur</t>
  </si>
  <si>
    <t>Piek trådbur</t>
  </si>
  <si>
    <t>Trolley</t>
  </si>
  <si>
    <t>Piek blomster cont.</t>
  </si>
  <si>
    <t>Lille blomsterbur</t>
  </si>
  <si>
    <t>Trådbur</t>
  </si>
  <si>
    <t>Lift</t>
  </si>
  <si>
    <t>Støjsvag lift</t>
  </si>
  <si>
    <t>Lif/Palleløfter</t>
  </si>
  <si>
    <t>Vognkasse</t>
  </si>
  <si>
    <t>Sækkevogn</t>
  </si>
  <si>
    <t>Vognkasse/lift</t>
  </si>
  <si>
    <t>Lift til terræn</t>
  </si>
  <si>
    <t>Terræn til lift</t>
  </si>
  <si>
    <t>Hæve</t>
  </si>
  <si>
    <t>Lift/Palleløfter</t>
  </si>
  <si>
    <t>Varerhåndtering</t>
  </si>
  <si>
    <t>Tomgang</t>
  </si>
  <si>
    <t>Lift/Vognkasse</t>
  </si>
  <si>
    <t>Sænke + kørsel</t>
  </si>
  <si>
    <t>Sænke</t>
  </si>
  <si>
    <t>Hæve + lukning</t>
  </si>
  <si>
    <t>Piek el-palleløfter</t>
  </si>
  <si>
    <t>Piek palleløfter</t>
  </si>
  <si>
    <t>Postbur</t>
  </si>
  <si>
    <t>Standard palleløfter</t>
  </si>
  <si>
    <t>Varighed</t>
  </si>
  <si>
    <t>Støjkilde</t>
  </si>
  <si>
    <t>Kategori</t>
  </si>
  <si>
    <t>Aktivitet</t>
  </si>
  <si>
    <t>Asfalt/beton</t>
  </si>
  <si>
    <t>Åbne bagsmæk og port til lager</t>
  </si>
  <si>
    <t>Fyldte kasser fra bil til lager</t>
  </si>
  <si>
    <t>Tomme kasser fra lager til bil</t>
  </si>
  <si>
    <t>Lukke bagsmæk og port</t>
  </si>
  <si>
    <t>Vareleverance</t>
  </si>
  <si>
    <t>Alm. Lastbil</t>
  </si>
  <si>
    <t>Volvo diesel</t>
  </si>
  <si>
    <t>Volvo hybrid</t>
  </si>
  <si>
    <t>Asfalt</t>
  </si>
  <si>
    <t>Niveau i afstand 7,5 m</t>
  </si>
  <si>
    <t>Max-niveau i afstand 7,5 m</t>
  </si>
  <si>
    <t>6. Lastbil på gasdrift (Dieseldrift tilsat gas), måles i 2014</t>
  </si>
  <si>
    <t>-</t>
  </si>
  <si>
    <t>Samlede leverancer</t>
  </si>
  <si>
    <t>Individuelt sammensatte leverancer</t>
  </si>
  <si>
    <t>2. Alm. standard lastvogn (Euro 5.5) målt i 2013</t>
  </si>
  <si>
    <t>Butik :</t>
  </si>
  <si>
    <t xml:space="preserve"> </t>
  </si>
  <si>
    <t>Dato :</t>
  </si>
  <si>
    <t>Trådbure, postbure og blomsterbure (Støjsvage og alm.)</t>
  </si>
  <si>
    <t>Palleløftere (Støjsvage og alm.)</t>
  </si>
  <si>
    <t>Liftoperationer (Støjsvage og alm.)</t>
  </si>
  <si>
    <t>Klargøring og sammenpakning, åbning/lukning af døre m.m</t>
  </si>
  <si>
    <t>Brugervejledning</t>
  </si>
  <si>
    <t>1. Indledning</t>
  </si>
  <si>
    <t>2. Fremgangsmåde</t>
  </si>
  <si>
    <t>2. Angiv evt. en betegnelse for de leverancer, der skal indgå</t>
  </si>
  <si>
    <t>Der anvendes simpel geometrisk udbredelse fra en punktkilde (jævnfør Miljøstyrelsens vejledning 5/1993, formel 5.3.2)</t>
  </si>
  <si>
    <t>Der indgår ikke korrektion for luftabsorption. Det kan for typiske støjkilder ved varelevering medføre en overestimering af støjen ved afstande på mere end 200 - 300 meter på 1 dB og op til ca. 3 dB ved afstande op mod 1.000 meter.</t>
  </si>
  <si>
    <t>Det forudsættes, at modtagerens højde over terræn altid er 1,5 meter, jævnfør Miljøstyrelsens vejledning 6/1984, Måling af ekstern støj fra virksomheder.</t>
  </si>
  <si>
    <t>Det er desuden forudsat, at kildehøjde for varelevering er 1,5 meter, som en passende typisk højde. Det samme gælder køretøjerne, hvor støjdatabogen også angiver 1,5 meter. Fordi modellen ikke arbejder med effekten af afskærmning, er disse højder ikke kritiske for modellens præcision.</t>
  </si>
  <si>
    <t>I øvrigt anvendes følgende forudsætninger om terrænforhold:</t>
  </si>
  <si>
    <t>Midterområder (relevant ved afstande over 90 meter): Blødt terræn</t>
  </si>
  <si>
    <t xml:space="preserve">Ved afstande indtil 90 meter er der ikke noget midterområde og terrænkorrektionen er 3 dB ved alle frekvenser. </t>
  </si>
  <si>
    <r>
      <t>Korrektion for afstand, ΔL</t>
    </r>
    <r>
      <rPr>
        <b/>
        <vertAlign val="subscript"/>
        <sz val="16"/>
        <color theme="1"/>
        <rFont val="Verdana"/>
        <family val="2"/>
      </rPr>
      <t>d</t>
    </r>
  </si>
  <si>
    <r>
      <t>Korrektion for absorption i luft, Δl</t>
    </r>
    <r>
      <rPr>
        <b/>
        <vertAlign val="subscript"/>
        <sz val="16"/>
        <color theme="1"/>
        <rFont val="Verdana"/>
        <family val="2"/>
      </rPr>
      <t>a</t>
    </r>
  </si>
  <si>
    <r>
      <t>Korrektion for reflekterende genstande, ΔL</t>
    </r>
    <r>
      <rPr>
        <b/>
        <vertAlign val="subscript"/>
        <sz val="16"/>
        <color theme="1"/>
        <rFont val="Verdana"/>
        <family val="2"/>
      </rPr>
      <t>r</t>
    </r>
  </si>
  <si>
    <r>
      <t>Korrektion for skærmning, ΔL</t>
    </r>
    <r>
      <rPr>
        <b/>
        <vertAlign val="subscript"/>
        <sz val="16"/>
        <color theme="1"/>
        <rFont val="Verdana"/>
        <family val="2"/>
      </rPr>
      <t>s</t>
    </r>
  </si>
  <si>
    <r>
      <t>Korrektion for terrænforhold, ΔL</t>
    </r>
    <r>
      <rPr>
        <b/>
        <vertAlign val="subscript"/>
        <sz val="16"/>
        <color theme="1"/>
        <rFont val="Verdana"/>
        <family val="2"/>
      </rPr>
      <t>g</t>
    </r>
  </si>
  <si>
    <t>Tidsrum og referencetidsrum (bør ikke ændres)</t>
  </si>
  <si>
    <t>Tabellens værdier anvendes i beregningsmodellen</t>
  </si>
  <si>
    <t>Projekt :</t>
  </si>
  <si>
    <t>Beregning nr.:</t>
  </si>
  <si>
    <r>
      <t>Samlet støjbelastning for alle vareleverancer, L</t>
    </r>
    <r>
      <rPr>
        <b/>
        <vertAlign val="subscript"/>
        <sz val="12"/>
        <color theme="1"/>
        <rFont val="Verdana"/>
        <family val="2"/>
      </rPr>
      <t>r</t>
    </r>
    <r>
      <rPr>
        <b/>
        <sz val="12"/>
        <color theme="1"/>
        <rFont val="Verdana"/>
        <family val="2"/>
      </rPr>
      <t xml:space="preserve"> i dB</t>
    </r>
  </si>
  <si>
    <t/>
  </si>
  <si>
    <t>Sum</t>
  </si>
  <si>
    <r>
      <rPr>
        <b/>
        <sz val="14"/>
        <color theme="1"/>
        <rFont val="Verdana"/>
        <family val="2"/>
      </rPr>
      <t>Felt 1: Valg af beregningsperiode</t>
    </r>
    <r>
      <rPr>
        <sz val="14"/>
        <color theme="1"/>
        <rFont val="Verdana"/>
        <family val="2"/>
      </rPr>
      <t xml:space="preserve">
I det gule felt ligger en liste, hvor man kan vælge den ønskede beregningsperiode. Ude til højre vil blive angivet det referencetidsrum, der passer til beregningsperioden, fx Dagperioden, hverdage kl. 7 - 18; referencetidsrum 8 timer. Der kan kun arbejdes med én beregningsperiode af gangen.</t>
    </r>
  </si>
  <si>
    <r>
      <rPr>
        <b/>
        <sz val="14"/>
        <color theme="1"/>
        <rFont val="Verdana"/>
        <family val="2"/>
      </rPr>
      <t>Felt 2: Betegnelse for leveringer</t>
    </r>
    <r>
      <rPr>
        <sz val="14"/>
        <color theme="1"/>
        <rFont val="Verdana"/>
        <family val="2"/>
      </rPr>
      <t xml:space="preserve">
Modellen kan håndtere indtil 4 forskellige vareleverancer indenfor den valgte beregningsperiode. Man kan vælge at give leverancerne en betegnelse, fx "Brød", "Blomster" etc.  </t>
    </r>
  </si>
  <si>
    <r>
      <t>Støjbelastning for hver vareleverance, L</t>
    </r>
    <r>
      <rPr>
        <b/>
        <vertAlign val="subscript"/>
        <sz val="12"/>
        <color theme="1"/>
        <rFont val="Verdana"/>
        <family val="2"/>
      </rPr>
      <t>r</t>
    </r>
    <r>
      <rPr>
        <b/>
        <sz val="12"/>
        <color theme="1"/>
        <rFont val="Verdana"/>
        <family val="2"/>
      </rPr>
      <t xml:space="preserve"> i dB</t>
    </r>
  </si>
  <si>
    <t>Varighed sek.</t>
  </si>
  <si>
    <t>Anvendt udstyr</t>
  </si>
  <si>
    <t>2 butikker</t>
  </si>
  <si>
    <t>f. Samlet varelevering til åben læsserampe, med støjsvagt udstyr</t>
  </si>
  <si>
    <t>e. Varelevering af brød til dagligvarebutik, støjsvag el-palleløfter</t>
  </si>
  <si>
    <t>4 butikker</t>
  </si>
  <si>
    <t>Beskrivelse</t>
  </si>
  <si>
    <t>Måleafstand</t>
  </si>
  <si>
    <t>Hastighed</t>
  </si>
  <si>
    <t>Niveau i måleafstand</t>
  </si>
  <si>
    <t>Varighed
(ved kørsel er distancen
10 meter)</t>
  </si>
  <si>
    <t>Max-niveau i måleafstand</t>
  </si>
  <si>
    <t>i %</t>
  </si>
  <si>
    <t>Meter</t>
  </si>
  <si>
    <t>m/s</t>
  </si>
  <si>
    <t>Sekunder</t>
  </si>
  <si>
    <t>Opstartsaktiviteter i forbindelse med kortvarig leverance af f.eks. brød og lign. varer</t>
  </si>
  <si>
    <t>Afsluttende aktiviteter i forbindelse med kortvarig leverance af f.eks. brød og lign. varer</t>
  </si>
  <si>
    <t>Fjern. af læsserram fra vogn.</t>
  </si>
  <si>
    <t>Smæld fra læsserampe</t>
  </si>
  <si>
    <t>Asfalt/betonrampe</t>
  </si>
  <si>
    <t>Udfoldning af læsserampe</t>
  </si>
  <si>
    <t>Ringeklokke</t>
  </si>
  <si>
    <t>Udstig., lukn. af dør, indstig.</t>
  </si>
  <si>
    <t>Jungheinrich EJE 116, Alm. el-palleløfter, med belastning</t>
  </si>
  <si>
    <t>Jungheinrich EJE 116, Alm. el-palleløfter, uden belastning</t>
  </si>
  <si>
    <t>Jungheinrich EJE 116 SILENT DRIVE, Piek-certificeret el-palleløfter, med belastning</t>
  </si>
  <si>
    <t>Jungheinrich EJE 116 SILENT DRIVE, Piek-certificeret el-palleløfter, uden belastning</t>
  </si>
  <si>
    <t>Jungheinrich AM 22 SILENT DRIVE, Piek-certificeret manuel palleløfter, med belastning</t>
  </si>
  <si>
    <t>Jungheinrich AM 22 SILENT DRIVE, Piek-certificeret manuel palleløfter, uden belastning</t>
  </si>
  <si>
    <t>BT Lifter Silent, Piek-cert., manuel palleløfter, med last, jævn asfalt. middel af 2 målinger</t>
  </si>
  <si>
    <t>BT Lifter Silent, Piek-cert., manuel palleløfter, med last, ujævnt terræn. Middel af 2 målinger</t>
  </si>
  <si>
    <t>BT Lifter Silent, Piek-cert., manuel palleløfter, uden last, gafler helt nede, jævn asfalt. Middel af 2 målinger</t>
  </si>
  <si>
    <t>BT Lifter Silent, Piek-cert., manuel palleløfter, uden last, gafler helt nede, ujævnt terræn, middel af 2 målinger</t>
  </si>
  <si>
    <t>BT Lifter Silent, Piek-cert., manuel palleløfter, uden last, gafler løftet 5 cm, jævn asfalt. Middel af 2 målinger</t>
  </si>
  <si>
    <t>Støjsvag palleløfter, transport af palle med vare fra bil til lager</t>
  </si>
  <si>
    <t>Støjsvag palleløfter, transport af palle med tom emballage fra lager bil</t>
  </si>
  <si>
    <t>BT Lifter Silent, Piek-cert., manuel palleløfter, uden last, gafler løftet 5 cm, ujævnt terræn, middel af 2 målinger</t>
  </si>
  <si>
    <t>Gammel el-palleløfter. Ujævnt underlag. Uden varer. Middel af 2 målinger</t>
  </si>
  <si>
    <t>Gl. el-palleløfter</t>
  </si>
  <si>
    <t>Jungheinrich AM 22, Alm. manuel palleløfter, med belastning</t>
  </si>
  <si>
    <t>Jungheinrich AM 22, Alm. manuel palleløfter, uden belastning</t>
  </si>
  <si>
    <t>Varehåndtering</t>
  </si>
  <si>
    <t>CC Euro Rolly, ½ palle, trolley, Piek-cert. jævn asfalt. Middel af 2 målinger</t>
  </si>
  <si>
    <t>CC Euro Rolly, ½ palle, trolley, Piek-cert. ujævnt terræn. middel af 2 målinger</t>
  </si>
  <si>
    <t>Tomme blomsterbure fra terræn til lift</t>
  </si>
  <si>
    <t>Tomme bure fra tr. til lift</t>
  </si>
  <si>
    <t>Tomme blomsterbure fra terræn til vognkasse</t>
  </si>
  <si>
    <t>Tomme bure fra tr. til vognk</t>
  </si>
  <si>
    <t>Tomme bure fra terræn til lift/vognkasse</t>
  </si>
  <si>
    <t>Bure ud på lift, lift ned</t>
  </si>
  <si>
    <t>Udkørsel af bure på lift</t>
  </si>
  <si>
    <t>Flasker og fustager (Palleløftere, delleverancer, afhentning)</t>
  </si>
  <si>
    <t>El-palleløfter. Jævn asfalt. Kørsel med kasser med tomme flasker. Middel af 2 målinger</t>
  </si>
  <si>
    <t>El-palleløfter. Jævn asfalt. Kørsel med omviklet leverance på palle. Middel af 2 målinger</t>
  </si>
  <si>
    <t>El-palleløfter. Jævn asfalt. Kørsel med tomme fustager. Middel af 2 målinger</t>
  </si>
  <si>
    <t>El-palleløfter. Jævn asfalt. Uden varer. Middel af 2 målinger</t>
  </si>
  <si>
    <t>Lift /Vognkasse</t>
  </si>
  <si>
    <t>El-palleløfter med tomme fustager på palle fra terræn til lift, afsættes</t>
  </si>
  <si>
    <t>El-palleløfter med varer (omviklet leverance på palle). Kørsel fra lift til terræn</t>
  </si>
  <si>
    <t>El-palleløfter med ølkasser (tomme flasker) på palle fra terræn til lift, afsættes</t>
  </si>
  <si>
    <t>El-palleløfter uden varer. Kørsel fra lift til terræn</t>
  </si>
  <si>
    <t>El-palleløfter uden varer. Kørsel fra terræn til lift</t>
  </si>
  <si>
    <t>El-palleløfter. Ujævnt underlag. Kørsel med kasser med tomme flasker. Middel af 2 målinger</t>
  </si>
  <si>
    <t>El-palleløfter. Ujævnt underlag. Kørsel med omviklet leverance på palle. Middel af 2 målinger</t>
  </si>
  <si>
    <t>El-palleløfter. Ujævnt underlag. Kørsel med tomme fustager. Middel af 2 målinger</t>
  </si>
  <si>
    <t>El-palleløfter. Ujævnt underlag. Uden varer. Middel af 2 målinger</t>
  </si>
  <si>
    <t>Gammel el-palleløfter. Jævn asfalt. Kørsel med kasser med tomme flasker. Middel af 2 målinger</t>
  </si>
  <si>
    <t>Gammel el-palleløfter. Jævn asfalt. Kørsel med omviklet leverance på palle. Middel af 2 målinger</t>
  </si>
  <si>
    <t>Gammel el-palleløfter. Jævn asfalt. Kørsel med tomme fustager. Middel af 2 målinger</t>
  </si>
  <si>
    <t>Gammel el-palleløfter. Jævn asfalt. Uden varer. Middel af 2 målinger</t>
  </si>
  <si>
    <t>Gammel el-palleløfter. Ujævnt underlag. Kørsel med kasser med tomme flasker. Middel af 2 målinger</t>
  </si>
  <si>
    <t>Gammel el-palleløfter. Ujævnt underlag. Kørsel med omviklet leverance på palle. Middel af 2 målinger</t>
  </si>
  <si>
    <t>Gammel el-palleløfter. Ujævnt underlag. Kørsel med tomme fustager. Middel af 2 målinger</t>
  </si>
  <si>
    <t>Vognbund, lastbil (operationer i vognkasse, flytning af afstivning)</t>
  </si>
  <si>
    <t>Vognkasse. Kørsel med tom elepalleløfter fra vognbund til lift</t>
  </si>
  <si>
    <t>Vognkasse. Kørsel med tom el-palleløfter på vognbund</t>
  </si>
  <si>
    <t>Vognkasse/El-palleløfter</t>
  </si>
  <si>
    <t>Omlæsning af kasser inde i vognkasse. (Der fyldes ofte 6 kasser på så de står i 5 lag)</t>
  </si>
  <si>
    <t>Tomgang, Lastbil</t>
  </si>
  <si>
    <t>Lastvogn i tomgang</t>
  </si>
  <si>
    <t>Tomgang, alm. standard lastvogn (Euro 5.5) målt i 2013</t>
  </si>
  <si>
    <t>Tomgang, Hybridlastbil på dieseldrift, målt i 2013</t>
  </si>
  <si>
    <t>Fliser</t>
  </si>
  <si>
    <t>Håndtering af gods i vognkasse</t>
  </si>
  <si>
    <t>Dørsmæk (7 målinger)</t>
  </si>
  <si>
    <t>Papirer i førerhus + dørsmæk</t>
  </si>
  <si>
    <t>Montering af afstivning i vognkasse (2 målinger)</t>
  </si>
  <si>
    <t>Trykluftafblæsning (6 målinger)</t>
  </si>
  <si>
    <t>Flytning af afstivning (3 målinger)</t>
  </si>
  <si>
    <t>Liftoperationer ved afslutning (4 målinger)</t>
  </si>
  <si>
    <t>Lift/El-palleløfter/vognkasse</t>
  </si>
  <si>
    <t>Hævning af lift (tom)</t>
  </si>
  <si>
    <t>Sænkning af lift</t>
  </si>
  <si>
    <t>Lukning af klap over lift</t>
  </si>
  <si>
    <t>Lift ned og indk. i varegård</t>
  </si>
  <si>
    <t>Supplerende aktiviteter</t>
  </si>
  <si>
    <t>Komplet afhentning, El-pllløfter køres op på lift, liften hæves, pallen køres ind i vognkasse</t>
  </si>
  <si>
    <t>Vareaflæsning (kortvarig, brød)</t>
  </si>
  <si>
    <t>Fliser/betonrampe</t>
  </si>
  <si>
    <t>Vareaflæsning</t>
  </si>
  <si>
    <t>Vareleverance høj køledrift</t>
  </si>
  <si>
    <t>Vareleverance lav køledrift</t>
  </si>
  <si>
    <t>Liftoperationer ved opstart (6 målinger)</t>
  </si>
  <si>
    <t xml:space="preserve">Databasens oplysninger kan anvendes til detaljerede støjberegninger. Oplysninger om støjens frekvensfordeling findes ude til højre.  </t>
  </si>
  <si>
    <t>Ved brug af disse oplysninger er det alene brugerens ansvar, at de er relevante for den konkrete situation, de anvendes til.</t>
  </si>
  <si>
    <t>Alle data stilles gratis til rådighed af Miljøstyrelsen og Rambøll. Hverken Miljøstyrelsen eller Rambøll påtager sig noget ansvar for evt. fejl og mangler.</t>
  </si>
  <si>
    <t>Vareleverance af køle- og frostvarer til dagligvarebutik med lukket læsserampe og alm. palleløfter, køleanlæg på trailer i drift, glat vognbund med vinyl.</t>
  </si>
  <si>
    <t>Leverance til havecenter er baseret på 2 målinger af støj ved leverance til butikker med alm. udstyr, alm. riflet vognbund og levering med lift til terræn.</t>
  </si>
  <si>
    <t>Den traditionelle vareleverance er baseret på gennemsnitsdata ved måling af støj fra 3 leverancer til dagligvarebutikker med almindeligt forekommende udstyr (måling fra 2001)</t>
  </si>
  <si>
    <t>Brødleverancer er baseret på måling af støj ved 4 leverancer til dagligvarebutikker med alm. forvogn og støjsvag el-palleløfter som type Jungheinrich EJE 116 SILENT DRIVE.</t>
  </si>
  <si>
    <t>Vareleverance af Nonfood og enkelte frostvarer til dagligvarebutik med lukket læsserampe og alm. palleløfter, glat vognbund med vinyl.</t>
  </si>
  <si>
    <t xml:space="preserve">Regnearkets øverste felter kan udfyldes med relevant information om beregningen.
</t>
  </si>
  <si>
    <t>Kildehøjde og modtagerhøjde er altid 1,5 meter.</t>
  </si>
  <si>
    <t>I praktiske situationer er det uden betydning, at luftabsorption ikke indgår i beregningen.</t>
  </si>
  <si>
    <t xml:space="preserve">Beregningen forudsætter derfor, at selve aflæssestøjen reflekteres med en korrektion på +3 dB. Der indgår ikke reflektionsbidrag fra kørselsoperationerne, fordi de typisk foregår længere væk fra bygningerne. </t>
  </si>
  <si>
    <t>Alt. 1</t>
  </si>
  <si>
    <t>Alt. 2</t>
  </si>
  <si>
    <t>Alt. 3</t>
  </si>
  <si>
    <t>Samlet aflæsning</t>
  </si>
  <si>
    <t>Befæstet areal</t>
  </si>
  <si>
    <t>Klargøring og sammenpakning (Miljøprojekt 596, 2001)</t>
  </si>
  <si>
    <t>Håndtering af fyldte paller og trådbure i vogn (Miljøprojekt 596, 2001)</t>
  </si>
  <si>
    <t>Håndtering af tomme paller og trådbure i vogn (Miljøprojekt 596, 2001)</t>
  </si>
  <si>
    <t>Sum for håndtering af palle og trådbure i vogn (Miljøprojekt 596, 2001)</t>
  </si>
  <si>
    <t>Håndtering af fyldte paller og trådbure på terræn/rampe (Miljøprojekt 596, 2001)</t>
  </si>
  <si>
    <t>Håndtering af tomme paller og trådbure på terræn/rampe (Miljøprojekt 596, 2001)</t>
  </si>
  <si>
    <t>Sum for håndtering af palle og trådbure på terræn/rampe (Miljøprojekt 596, 2001)</t>
  </si>
  <si>
    <t>Hævning af læssebagsmæk (Miljøprojekt 596, 2001)</t>
  </si>
  <si>
    <t>Trykudligning i bilens trykluftsystem (Miljøprojekt 596, 2001)</t>
  </si>
  <si>
    <t xml:space="preserve">Den forudsatte hastighed er 2,5 km/h. Det medfører, at kørslen på virksomhedens område har en samlet varighed på ca. 60 sekunder. </t>
  </si>
  <si>
    <r>
      <t>Derfor er R</t>
    </r>
    <r>
      <rPr>
        <vertAlign val="superscript"/>
        <sz val="14"/>
        <color theme="1"/>
        <rFont val="Verdana"/>
        <family val="2"/>
      </rPr>
      <t>2</t>
    </r>
    <r>
      <rPr>
        <sz val="14"/>
        <color theme="1"/>
        <rFont val="Verdana"/>
        <family val="2"/>
      </rPr>
      <t xml:space="preserve"> = d</t>
    </r>
    <r>
      <rPr>
        <vertAlign val="superscript"/>
        <sz val="14"/>
        <color theme="1"/>
        <rFont val="Verdana"/>
        <family val="2"/>
      </rPr>
      <t>2</t>
    </r>
    <r>
      <rPr>
        <sz val="14"/>
        <color theme="1"/>
        <rFont val="Verdana"/>
        <family val="2"/>
      </rPr>
      <t>.</t>
    </r>
  </si>
  <si>
    <t xml:space="preserve">Beregningsmodellen omhandler kun støj fra varelevering og den tilknyttede kørsel på butikkens område. Støj fra andre støjkilder indgår ikke. Man skal være opmærksom på, at det er den samlede støj fra en butik, inkl. fx støj fra køleanlæg og ventilationsanlæg, der skal overholde de grænseværdier, der kan være fastsat for butikkens støjbelastning af omgivelserne.  
Under fanebladene Katalog-køretøjer, Katalog-støjkilder og Katalog-samlede leverancer findes detaljerede støjtekniske data, der kan anvendes som grundlag for mere detaljere støjberegninger, evt. beregninger udført som ”miljømåling – ekstern støj”.  Den seneste version af regnearket kan downloades fra www.referencelaboratoriet.dk.
Regnearket er beskyttet, så man ikke ved et fejl kommer til at overskrive celler med formler. Beskyttelsen kan imidlertid ophæves uden at angive et password/kodeord, hvis man ønsker det. Det er bevidst, at regnearket ikke anvender makroer og generelt er tilstræbt at være forholdsvis enkelt. 
Modellen er baseret på de samme principper som den diagrammetode, der findes i Miljøstyrelsens miljøprojekt nr. 596, 2001: Støj fra varelevering til butikker. 
</t>
  </si>
  <si>
    <r>
      <t xml:space="preserve">Felt 6: Beregningsresultat
</t>
    </r>
    <r>
      <rPr>
        <sz val="14"/>
        <color theme="1"/>
        <rFont val="Verdana"/>
        <family val="2"/>
      </rPr>
      <t xml:space="preserve">For hver type vareleverance beregnes støjbidragene fra henholdsvis køretøjer og aflæsseoperationer. 
</t>
    </r>
    <r>
      <rPr>
        <b/>
        <sz val="14"/>
        <color theme="1"/>
        <rFont val="Verdana"/>
        <family val="2"/>
      </rPr>
      <t>Impulstillæg</t>
    </r>
    <r>
      <rPr>
        <sz val="14"/>
        <color theme="1"/>
        <rFont val="Verdana"/>
        <family val="2"/>
      </rPr>
      <t xml:space="preserve">
Den samlede støj fra de to støjkilder skal evt. korrigeres for forekomst af impulser i støjen. 
Beregningsmodellen tildeler automatisk impulstillæg, hvis beregningen udføres for aftenperioden eller natperioden, men ikke for andre perioder.
Støj fra varelevering med traditionelt materiel uden særlig støjdæmpning vil ofte indeholde impulser fra fx smækkende døre, trådbure, der støder sammen eller støj fra en palleløfter. Med mindre der er gjort en særlig indsats for at dæmpe støj, må man derfor forvente, at varelevering om natten og om aftenen giver anledning til impulstillæg, mens det normalt ikke vil være tilfældet om dagen, hvor impulserne som regel maskeres af anden støj. Hvis der anvendes støjsvagt materiel eller på anden måde er gjort en særlig indsats for at begrænse støjens impulskarakter, kan tillægget bortfalde. Feltet med impulstillæg kan overskrives.
</t>
    </r>
    <r>
      <rPr>
        <b/>
        <sz val="14"/>
        <color theme="1"/>
        <rFont val="Verdana"/>
        <family val="2"/>
      </rPr>
      <t>Samlet støjbelastning</t>
    </r>
    <r>
      <rPr>
        <sz val="14"/>
        <color theme="1"/>
        <rFont val="Verdana"/>
        <family val="2"/>
      </rPr>
      <t xml:space="preserve">
Den samlede støjbelastning, med eller uden tillæg for impulser, kan sammenlignes med den grænseværdi, der gælder for det naboområde, hvor beregningspunktet er beliggende. Se i øvrigt afsnit 7 i miljøprojektet "Støjsvag varelevering til butikker".
</t>
    </r>
    <r>
      <rPr>
        <b/>
        <sz val="14"/>
        <color theme="1"/>
        <rFont val="Verdana"/>
        <family val="2"/>
      </rPr>
      <t>Største maksimalværdi, L</t>
    </r>
    <r>
      <rPr>
        <b/>
        <vertAlign val="subscript"/>
        <sz val="14"/>
        <color theme="1"/>
        <rFont val="Verdana"/>
        <family val="2"/>
      </rPr>
      <t>pMax</t>
    </r>
    <r>
      <rPr>
        <sz val="14"/>
        <color theme="1"/>
        <rFont val="Verdana"/>
        <family val="2"/>
      </rPr>
      <t xml:space="preserve">
Modellen angiver altid støjens maksimalværdi, men der fastsættes kun grænseværdier for natperioden. </t>
    </r>
  </si>
  <si>
    <t>I praktiske situationer er det ikke sandsynligt, at terrænet over større afstand er fuldstændigt reflekterende. Derfor anvendes en generel terrænkorrektion på 3 dB for alle afstande. Det svarer til en forudsætning om, at midterområdet altid er lydabsorberende (G = 1).</t>
  </si>
  <si>
    <t>Piek - El palleløfter</t>
  </si>
  <si>
    <t>Vareleverance til butik med skærpede støjkrav omfatter : Åben gummicoatet læsserampe, støjsvag el palleløfter Jungheinrich EJE 116 Silent Drive, støjsvagt Carrier Vector City køleaggregat på trailer og vognbund med langsgående mikro-riller.</t>
  </si>
  <si>
    <r>
      <t>L</t>
    </r>
    <r>
      <rPr>
        <b/>
        <vertAlign val="subscript"/>
        <sz val="9"/>
        <color theme="1"/>
        <rFont val="Verdana"/>
        <family val="2"/>
      </rPr>
      <t>Amax</t>
    </r>
  </si>
  <si>
    <r>
      <t>L</t>
    </r>
    <r>
      <rPr>
        <b/>
        <vertAlign val="subscript"/>
        <sz val="9"/>
        <color theme="1"/>
        <rFont val="Verdana"/>
        <family val="2"/>
      </rPr>
      <t>Aeq</t>
    </r>
  </si>
  <si>
    <r>
      <t>L</t>
    </r>
    <r>
      <rPr>
        <b/>
        <vertAlign val="subscript"/>
        <sz val="9"/>
        <color theme="1"/>
        <rFont val="Verdana"/>
        <family val="2"/>
      </rPr>
      <t>WA</t>
    </r>
    <r>
      <rPr>
        <b/>
        <sz val="9"/>
        <color theme="1"/>
        <rFont val="Verdana"/>
        <family val="2"/>
      </rPr>
      <t>, dB
1/1 oktav centerfrekvens, Hz</t>
    </r>
  </si>
  <si>
    <r>
      <t>L</t>
    </r>
    <r>
      <rPr>
        <b/>
        <vertAlign val="subscript"/>
        <sz val="9"/>
        <color theme="1"/>
        <rFont val="Verdana"/>
        <family val="2"/>
      </rPr>
      <t>Amax</t>
    </r>
    <r>
      <rPr>
        <b/>
        <sz val="9"/>
        <color theme="1"/>
        <rFont val="Verdana"/>
        <family val="2"/>
      </rPr>
      <t>, dB
1/1 oktav centerfrekvens, Hz</t>
    </r>
  </si>
  <si>
    <r>
      <t>L</t>
    </r>
    <r>
      <rPr>
        <b/>
        <vertAlign val="subscript"/>
        <sz val="9"/>
        <color theme="1"/>
        <rFont val="Verdana"/>
        <family val="2"/>
      </rPr>
      <t>wa</t>
    </r>
    <r>
      <rPr>
        <b/>
        <sz val="9"/>
        <color theme="1"/>
        <rFont val="Verdana"/>
        <family val="2"/>
      </rPr>
      <t>, dB
1/1 oktav centerfrekvens, Hz</t>
    </r>
  </si>
  <si>
    <r>
      <t>L</t>
    </r>
    <r>
      <rPr>
        <b/>
        <vertAlign val="subscript"/>
        <sz val="9"/>
        <color theme="1"/>
        <rFont val="Verdana"/>
        <family val="2"/>
      </rPr>
      <t>WA i dB</t>
    </r>
  </si>
  <si>
    <r>
      <t>L</t>
    </r>
    <r>
      <rPr>
        <b/>
        <vertAlign val="subscript"/>
        <sz val="9"/>
        <color theme="1"/>
        <rFont val="Verdana"/>
        <family val="2"/>
      </rPr>
      <t>WAmax i dB</t>
    </r>
  </si>
  <si>
    <t>Kildestyrke</t>
  </si>
  <si>
    <r>
      <rPr>
        <b/>
        <sz val="14"/>
        <color theme="1"/>
        <rFont val="Verdana"/>
        <family val="2"/>
      </rPr>
      <t xml:space="preserve">Materiel til aflæsning og opbevaring af varer
</t>
    </r>
    <r>
      <rPr>
        <u/>
        <sz val="14"/>
        <color theme="1"/>
        <rFont val="Verdana"/>
        <family val="2"/>
      </rPr>
      <t>Alternativ 1: Samlede leverancer  (kan beregnes med den forenklede og den avancerede beregningsmodel)</t>
    </r>
    <r>
      <rPr>
        <sz val="14"/>
        <color theme="1"/>
        <rFont val="Verdana"/>
        <family val="2"/>
      </rPr>
      <t xml:space="preserve">
I linjen kan fra listen vælges den kategori vareleverance, der passer bedst. Disse kategorier omfatter den samlede aflæsseoperationer. Der skal derfor ikke foretages flere valg for at afslutte beregningen. Under hver af de indtil fire typer leverancer angives med </t>
    </r>
    <r>
      <rPr>
        <b/>
        <sz val="14"/>
        <color theme="1"/>
        <rFont val="Verdana"/>
        <family val="2"/>
      </rPr>
      <t>x</t>
    </r>
    <r>
      <rPr>
        <sz val="14"/>
        <color theme="1"/>
        <rFont val="Verdana"/>
        <family val="2"/>
      </rPr>
      <t xml:space="preserve"> (eller et andet tegn), hvilken kategori, der er tale om. Angiv kun én kategori for hver af de indtil fire forskellige leverance.
</t>
    </r>
    <r>
      <rPr>
        <u/>
        <sz val="14"/>
        <color theme="1"/>
        <rFont val="Verdana"/>
        <family val="2"/>
      </rPr>
      <t>Alternativ 2: Individuelt sammensatte leverancer (kan beregnes med den avancerede  beregningsmodel)</t>
    </r>
    <r>
      <rPr>
        <sz val="14"/>
        <color theme="1"/>
        <rFont val="Verdana"/>
        <family val="2"/>
      </rPr>
      <t xml:space="preserve">
I de følgende linjer er det muligt at opbygge sin egen vareleverance ved at kombinere støjkilder fra de lister, der er i hver gul linje. Med </t>
    </r>
    <r>
      <rPr>
        <b/>
        <sz val="14"/>
        <color theme="1"/>
        <rFont val="Verdana"/>
        <family val="2"/>
      </rPr>
      <t>x</t>
    </r>
    <r>
      <rPr>
        <sz val="14"/>
        <color theme="1"/>
        <rFont val="Verdana"/>
        <family val="2"/>
      </rPr>
      <t xml:space="preserve"> under hver type leverance angives, hvilke aktiviteter og materiel, der skal indgå. Det er også muligt at rette ved overskrivning, hvor meget tid der anvendes til de forskellige aktiviteter. Det angives som % af det antal minutter der er angivet i felt 4.  
Nederst kan man se om det samlede tidsforbrug er 100 %. Man skal være opmærksom på, at der under en typisk aflæsseoperation vil være korte tidsrum, hvor der ikke er støj. Som en tommelfingerregel kan man gå ud fra, at der i 50 % af tiden ikke er en støjkilde i drift. Det betyder, at summen nederst normalt ikke skal overstige ca. 50%. Dette gælder dog ikke i alternativ 1, hvor de støjdata, der anvendes for de samlede leverancer indeholder pauserne uden støj.  </t>
    </r>
  </si>
  <si>
    <r>
      <rPr>
        <b/>
        <sz val="14"/>
        <color theme="1"/>
        <rFont val="Verdana"/>
        <family val="2"/>
      </rPr>
      <t>Felt 5: Hvilket materiel anvendes?
Køretøjstyper</t>
    </r>
    <r>
      <rPr>
        <sz val="14"/>
        <color theme="1"/>
        <rFont val="Verdana"/>
        <family val="2"/>
      </rPr>
      <t xml:space="preserve">
I hver linje kan vælges en køretøjstype. Hvis der ikke er konkret viden om en særlig køretøjstype, bør man anvende "Standard lastvogn 2001" med kildestyrke 101,5 dB.
Under hver af de indtil seks typer leverancer angives med </t>
    </r>
    <r>
      <rPr>
        <b/>
        <sz val="14"/>
        <color theme="1"/>
        <rFont val="Verdana"/>
        <family val="2"/>
      </rPr>
      <t>x</t>
    </r>
    <r>
      <rPr>
        <sz val="14"/>
        <color theme="1"/>
        <rFont val="Verdana"/>
        <family val="2"/>
      </rPr>
      <t xml:space="preserve"> (eller et anden tegn), hvilken køretøjstype, der anvendes. Der vil normalt kun være én køretøjstype pr. leverance, men angives flere, indgår de alle i beregningen. 
</t>
    </r>
  </si>
  <si>
    <t>10. Klargøring og sammenpakning (Miljøprojekt 596, 2001)</t>
  </si>
  <si>
    <t>1. 4 stabler á 5 kasser med tomme flasker fra palleløfter til terræn</t>
  </si>
  <si>
    <t>2. 4 stabler á 5 kasser med tomme flasker fra terræn til palleløfter</t>
  </si>
  <si>
    <t>1. Blomsterbure ud på lift, lift ned</t>
  </si>
  <si>
    <t>30. Tomme bure fra terræn til lift/vognkasse</t>
  </si>
  <si>
    <t>1. Afhentning af 10 stk. fustager på paller, fra terræn til vognkasse</t>
  </si>
  <si>
    <t>2. Komplet leverance af én palle øl (simuleret leverance)</t>
  </si>
  <si>
    <t>3. Vareaflæsning (kortvarig, brød)</t>
  </si>
  <si>
    <t>4. Vareleverance med køleanlæg på høj køledrift</t>
  </si>
  <si>
    <t>5. Vareleverance med køleanlæg på lav køledrift</t>
  </si>
  <si>
    <t>Alt. 4</t>
  </si>
  <si>
    <t>2. Afhentning af 10 stk. fustager på paller, fra terræn til vognkasse</t>
  </si>
  <si>
    <t>7. El-palleløfter køres tom fra vognkasse ud på lift.</t>
  </si>
  <si>
    <t>8. El-palleløfter med 10 stk. fustager på palle køres op på lift</t>
  </si>
  <si>
    <t>9. El-palleløfter med 10 stk. fustager på palle køres op på lift</t>
  </si>
  <si>
    <t>10. El-palleløfter med 16 kasser tomme flasker køres fra terræn op på lift</t>
  </si>
  <si>
    <t>11. El-palleløfter med 16 stk. kasser tomme flasker køres ind i vognkasse</t>
  </si>
  <si>
    <t>12. El-palleløfter med 24 kasser tomme flasker køres fra terræn op på lift</t>
  </si>
  <si>
    <t>13. El-palleløfter med 24 stk. kasser tomme flasker køres ind i vognkasse</t>
  </si>
  <si>
    <t>14. El-palleløfter med tomme fustager på palle fra terræn til lift, afsættes</t>
  </si>
  <si>
    <t>17. El-palleløfter uden varer. Kørsel fra lift til terræn</t>
  </si>
  <si>
    <t>18. El-palleløfter uden varer. Kørsel fra terræn til lift</t>
  </si>
  <si>
    <t>33. Kørsel med palle fra lift til terræn (kørestrækning ca. 8 meter.)</t>
  </si>
  <si>
    <t>34. Palle med 10 stk fustager køres ind i vognkasse</t>
  </si>
  <si>
    <t>35. Palle med 10 stk fustager køres ind i vognkasse</t>
  </si>
  <si>
    <t>36. Palle med 24 kasser tomme flasker køres ud på lift</t>
  </si>
  <si>
    <t>38. Sækkevogn, specialbygget. Tomme fustager fra terræn til sækkevogn</t>
  </si>
  <si>
    <t>1. Alm. lastbil (forvogn) henstillet i tomgang på hårdt terræn</t>
  </si>
  <si>
    <t>4. Håndtering af gods i vognkasse</t>
  </si>
  <si>
    <t>7. Fremfinding af papirer i førerhus + dørsmæk</t>
  </si>
  <si>
    <t>8. Tomgang, alm. forvogn</t>
  </si>
  <si>
    <t>9. Tomgang, alm. standard lastvogn (Euro 5.5) målt i 2013</t>
  </si>
  <si>
    <t>10. Tomgang, Hybridlastbil på dieseldrift, målt i 2013</t>
  </si>
  <si>
    <t>11. Tomgang, Hybridlastbil på el-drift (i gear), målt i 2013</t>
  </si>
  <si>
    <t>13. Udkørsel af 10 stk. fustager på paller fra vognkasse til lift</t>
  </si>
  <si>
    <t>22. Håndtering af fyldte paller og trådbure i vogn (Miljøprojekt 596, 2001)</t>
  </si>
  <si>
    <t>23. Håndtering af tomme paller og trådbure i vogn (Miljøprojekt 596, 2001)</t>
  </si>
  <si>
    <t>24. Sum for håndtering af palle og trådbure i vogn (Miljøprojekt 596, 2001)</t>
  </si>
  <si>
    <t>25. Trykudligning i bilens trykluftsystem (Miljøprojekt 596, 2001)</t>
  </si>
  <si>
    <t>1. Hæve lift fra terræn til vognbund</t>
  </si>
  <si>
    <t>2. Hævning af lift (tom)</t>
  </si>
  <si>
    <t>3. Hævning af lift med el-palleløfter og 24 kasser tomme flasker</t>
  </si>
  <si>
    <t xml:space="preserve">5. Lift hæves fra terræn til vandret med 10 fustager på palle </t>
  </si>
  <si>
    <t xml:space="preserve">6. Lift hæves fra terræn til vandret med 16 kasser tomme flasker </t>
  </si>
  <si>
    <t xml:space="preserve">7. Lift hæves fra terræn til vandret med 24 kasser tomme flasker </t>
  </si>
  <si>
    <t>8. Lift køres ned og der køres ud på terræn</t>
  </si>
  <si>
    <t>9. Lift med el-palleløfter og 24 kasser tomme flasker sænkes til terræn</t>
  </si>
  <si>
    <t xml:space="preserve">10. Lift med pallevogn på køres op i vandret </t>
  </si>
  <si>
    <t>11. Lift ned og indk. med el-palleløfter i varegård</t>
  </si>
  <si>
    <t>12. Lift vippes ned og sænkes, chauffør stiger på og kører til vandret</t>
  </si>
  <si>
    <t>13. Lift vippes ned og sænkes, chauffør stiger på og kører til vandret</t>
  </si>
  <si>
    <t>20. Sænkning af lift fra vandret til terræn</t>
  </si>
  <si>
    <t>21. Sænkning af lift fra vandret til terræn</t>
  </si>
  <si>
    <t>22. Hævning af læssebagsmæk (Miljøprojekt 596, 2001)</t>
  </si>
  <si>
    <t xml:space="preserve">Sæt X ved det udstyr, der anvendes. 
Typiske driftstider for udstyret anvendes, men kan overskrives i de hvide felter.
Drifttider er procent af aflæsseoperationens varighed. </t>
  </si>
  <si>
    <t>Åbning af bagdøre på trailervogn (3 målinger)</t>
  </si>
  <si>
    <t>Tomgang, Hybridlastbil på el-drift (i gear), målt i 2013</t>
  </si>
  <si>
    <t>2. Fjern. af læsserrampe fra vognbund, manuelt</t>
  </si>
  <si>
    <t>3. Lukning af bagdøre på trailer/vognkasse</t>
  </si>
  <si>
    <t>Fjern. af læsserrampe fra vognbund, manuelt</t>
  </si>
  <si>
    <t>Lukning af bagdøre på trailer/vognkasse</t>
  </si>
  <si>
    <t>7. Udfoldning af læsserampe på trailerbund</t>
  </si>
  <si>
    <t>8. Chauffør udstig., lukn. af dør, indstig.</t>
  </si>
  <si>
    <t>3. Alm. el-palleløfter, kørsel med belastning, jævnt terræn</t>
  </si>
  <si>
    <t>5. Alm. el-palleløfter, kørsel uden belastning, jævnt terræn</t>
  </si>
  <si>
    <t>7. Alm. manuel palleløfter, kørsel  med belastning, jævnt terræn</t>
  </si>
  <si>
    <t>9. Alm. manuel palleløfter, kørsel  uden belastning, jævnt terræn</t>
  </si>
  <si>
    <t>17. Støjsvag  el-palleløfter, kørsel  med belastning, jævnt terræn</t>
  </si>
  <si>
    <t>19. Støjsvag el-palleløfter, kørsel  uden belastning, jævnt terræn</t>
  </si>
  <si>
    <t>21. Støjsvag manuel palleløfter, kørsel  med belastning, jævnt terræn</t>
  </si>
  <si>
    <t>23. Støjsvag manuel palleløfter, kørsel  uden belastning, jævnt terræn</t>
  </si>
  <si>
    <t>2. CC Container (alm.), kørsel  med belastning, jævnt terræn</t>
  </si>
  <si>
    <t>4. CC Container (alm.), kørsel  uden belastning, jævnt terræn</t>
  </si>
  <si>
    <t>15. CC Euro Trolley (Piek.), kørsel  med belastning, jævnt terræn</t>
  </si>
  <si>
    <t>17. CC Euro Trolley (Piek.), kørsel  uden belastning, jævnt terræn</t>
  </si>
  <si>
    <t>21. CC Rollcontainer (alm.), kørsel  med belastning, jævnt terræn</t>
  </si>
  <si>
    <t>23. CC Rollcontainer (alm.), kørsel  uden belastning, jævnt terræn</t>
  </si>
  <si>
    <t>4. Alm. el-palleløfter, kørsel med belastning, ujævnt terræn</t>
  </si>
  <si>
    <t>6. Alm. el-palleløfter, kørsel uden belastning, ujævnt terræn</t>
  </si>
  <si>
    <t>10. Alm. manuel palleløfter, kørsel  uden belastning, ujævnt terræn</t>
  </si>
  <si>
    <t>8. Alm. manuel palleløfter, kørsel  med belastning, ujævnt terræn</t>
  </si>
  <si>
    <t>18. Støjsvag  el-palleløfter, kørsel  med belastning, ujævnt terræn</t>
  </si>
  <si>
    <t>20. Støjsvag el-palleløfter, kørsel  uden belastning, ujævnt terræn</t>
  </si>
  <si>
    <t>22. Støjsvag manuel palleløfter, kørsel  med belastning, ujævnt terræn</t>
  </si>
  <si>
    <t>24. Støjsvag manuel palleløfter, kørsel  uden belastning, ujævnt terræn</t>
  </si>
  <si>
    <t>3. CC Container (alm.), kørsel  med belastning, ujævnt terræn</t>
  </si>
  <si>
    <t>5. CC Container (alm.), kørsel  uden belastning, ujævnt terræn</t>
  </si>
  <si>
    <t>16. CC Euro Trolley (Piek.), kørsel  med belastning, ujævnt terræn</t>
  </si>
  <si>
    <t>18. CC Euro Trolley (Piek.), kørsel  uden belastning, ujævnt terræn</t>
  </si>
  <si>
    <t>22. CC Rollcontainer (alm.), kørsel  uden belastning, ujævnt terræn</t>
  </si>
  <si>
    <t>28. Tomme blomsterbure fra terræn til lift, jævnt terræn</t>
  </si>
  <si>
    <t>29. Tomme blomsterbure fra terræn til vognkasse, jævnt terræn</t>
  </si>
  <si>
    <t>31. Udkørsel af blomsterbure på lift, jævnt terræn</t>
  </si>
  <si>
    <t>24. CC Rollcontainer (alm.), kørsel med belastning, jævnt terræn</t>
  </si>
  <si>
    <t>14. Vognkasse, Kørsel med tom el-palleløfter fra vognbund til lift</t>
  </si>
  <si>
    <t>15. Vognkasse, Kørsel med tom el-palleløfter på vognbund</t>
  </si>
  <si>
    <t>16. Vognkasse, Palle stables vognbund til stabel. 5 paller</t>
  </si>
  <si>
    <t>18. Vognkasse, Tomme fustager fra palleløfter til vognbund. 9 enheder</t>
  </si>
  <si>
    <t>20. Vognkasse, Palle stables fra stabel til vognbund. 5 paller</t>
  </si>
  <si>
    <t>11.  Gammel el-palleløfter. Ujævnt underlag. Uden varer</t>
  </si>
  <si>
    <t>12. Standard manuel palleløfter, med last, jævn asfalt</t>
  </si>
  <si>
    <t>13. Standard manuel palleløfter, med last, ujævnt terræn</t>
  </si>
  <si>
    <t>14. Standard manuel palleløfter, uden last, gafler helt nede, jævn asfalt</t>
  </si>
  <si>
    <t>15. Standard manuel palleløfter, uden last, gafler løftet 5 cm, jævn asfalt</t>
  </si>
  <si>
    <t>16. Standard manuel palleløfter, uden last, ujævnt terræn</t>
  </si>
  <si>
    <t>29. Støjsvag, manuel palleløfter, uden last, gafler helt nede, jævn asfalt</t>
  </si>
  <si>
    <t>30. Støjsvag, manuel palleløfter, uden last, gafler helt nede, ujævnt terræn</t>
  </si>
  <si>
    <t>27. Støjsvag, manuel palleløfter, med last, jævn asfalt</t>
  </si>
  <si>
    <t>28. Støjsvag, manuel palleløfter, med last, ujævnt terræn</t>
  </si>
  <si>
    <t>31. Støjsvag, manuel palleløfter, uden last, gafler løftet 5 cm, jævn asfalt</t>
  </si>
  <si>
    <t>32. Støjsvag, manuel palleløfter, uden last, gafler løftet 5 cm, ujævnt terræn</t>
  </si>
  <si>
    <t>6. CC Container, stort blomsterbur, traditionel udformning, jævn asfalt</t>
  </si>
  <si>
    <t>13. CC Euro Rolly, ½ palle, trolley, Piek-cert. jævn asfalt</t>
  </si>
  <si>
    <t>14. CC Euro Rolly, ½ palle, trolley, Piek-cert. ujævnt terræn</t>
  </si>
  <si>
    <t>19. CC Euro Trolley, lille blomsterbur, plasthyller, jævn asfalt</t>
  </si>
  <si>
    <t>20. CC Euro Trolley, lille blomsterbur, plasthyller, ujævnt underlag</t>
  </si>
  <si>
    <t>26. Postbure (lukket låge), ujævnt underlag</t>
  </si>
  <si>
    <t>27. Postbure (åben låge), ujævnt underlag</t>
  </si>
  <si>
    <t>3. El-palleløfter Jævn asfalt. Kørsel med kasser med tomme flasker</t>
  </si>
  <si>
    <t>4. El-palleløfter Jævn asfalt. Kørsel med omviklet leverance på palle</t>
  </si>
  <si>
    <t>5. El-palleløfter Jævn asfalt. Kørsel med tomme fustager</t>
  </si>
  <si>
    <t>6. El-palleløfter Jævn asfalt. Uden varer</t>
  </si>
  <si>
    <t>19. El-palleløfter Ujævnt underlag. Kørsel med kasser med tomme flasker</t>
  </si>
  <si>
    <t>20. El-palleløfter Ujævnt underlag. Kørsel med omviklet leverance på palle</t>
  </si>
  <si>
    <t>21. El-palleløfter Ujævnt underlag. Kørsel med tomme fustager</t>
  </si>
  <si>
    <t>22. El-palleløfter Ujævnt underlag. Uden varer</t>
  </si>
  <si>
    <t>25. Gammel el-palleløfter. Jævn asfalt. Kørsel med tomme fustager</t>
  </si>
  <si>
    <t>26. Gammel el-palleløfter. Jævn asfalt. Uden varer</t>
  </si>
  <si>
    <t>29. Gammel el-palleløfter. Ujævnt underlag. Kørsel med tomme fustager</t>
  </si>
  <si>
    <t>15. Liftoperationer ved opstart af vareleverance</t>
  </si>
  <si>
    <t>19. Sænkning af lift ved opstart af vareleverance</t>
  </si>
  <si>
    <t>1. Komplet afht., El-palleløfter køres på lift, lift hæves, palle til vognkasse</t>
  </si>
  <si>
    <t>d. Lev. af planter m.v. til havecenter, blomsterbure uden særlig støjdæmpning</t>
  </si>
  <si>
    <t>4. Opstartsaktiviter ifm. kortvarig leverance af f.eks. brød og lign. varer</t>
  </si>
  <si>
    <t>1. Afsluttende aktiviteter ifm. kortvarig leverance af brød og lign. varer</t>
  </si>
  <si>
    <t>26. Støjsvag palleløfter, kørsel med pallevare fra bil til lager, jævnt terræn</t>
  </si>
  <si>
    <t>8. CC Container, st. blomsterbur, traditionel udformning, ujævnt underlag</t>
  </si>
  <si>
    <t>7. CC Container, st. blomsterbur, trad. udform. med vægt på hylder, ujævnt</t>
  </si>
  <si>
    <t>33. Håndtering af tomme paller og trådbure på terræn/rampe (Miljøproj. 596)</t>
  </si>
  <si>
    <t>32. Håndtering af fyldte paller og trådbure på terræn/rampe (Miljøproj. 596)</t>
  </si>
  <si>
    <t>34. Sum for håndtering af palle og trådbure på terræn/rampe (Miljøproj. 596)</t>
  </si>
  <si>
    <t>15. El-palleløfter, kørsel med omviklet leverance på palle fra lift til terræn</t>
  </si>
  <si>
    <t>16. El-palleløfter med ølkasser (tomme fl.) på palle fra terræn til lift, afsættes</t>
  </si>
  <si>
    <t>23. Gammel el-palleløfter. Jævn asfalt. Kørsel med kasser med tomme fl.</t>
  </si>
  <si>
    <t>24. Gl. el-palleløfter. Jævn asfalt. Kørsel med omviklet leverance på palle</t>
  </si>
  <si>
    <t>28. Gl. el-palleløfter. Ujævnt underlag. Kørsel med omviklet leverance på palle</t>
  </si>
  <si>
    <t>30. Håndt. af paller med fustager, kasser med tomme flasker i vognkasse</t>
  </si>
  <si>
    <t>31. Håndt. af paller med fustager, kasser med tomme flasker på terræn</t>
  </si>
  <si>
    <t>32. Kørsel med 24 kasser tomme fl. på palle fra terræn til lift (kørevej ca. 8 meter.)</t>
  </si>
  <si>
    <t>37. Sækkevogn, specialbygget Kasser med tom. fl. fra terræn til sækkevogn</t>
  </si>
  <si>
    <t>27. Gl. el-palleløfter. Ujævnt underlag. Kørsel med kasser med tomme fl.</t>
  </si>
  <si>
    <t>6. Omlæsning af kasser inde i vognkasse. (Der fyldes ofte 6 kasser på)</t>
  </si>
  <si>
    <t>17. Vognkasse, Samlet måling af støj ved aflæsning af fustager + afstivning</t>
  </si>
  <si>
    <t>19. Vognkasse, Ølkasser med tomme fl. fra vognbund til stabel. 9 enheder</t>
  </si>
  <si>
    <t>21. Vognkasse, Palleløfter med ølks. (tom. fl.) og tom. fustager fra lift til vogn</t>
  </si>
  <si>
    <t>25. Postbure (lukket låge), jævn asfalt.</t>
  </si>
  <si>
    <t>25. Støjsvag palleløfter, transport af palle med tom emballage fra lager til bil</t>
  </si>
  <si>
    <t>14. Liftoperationer ved afslutning af vareleverance</t>
  </si>
  <si>
    <t>18. Lukning af lift (støjsvag lift) ved afslutning af vareleverance</t>
  </si>
  <si>
    <t>16. Lukning af klap over lift ved afslutning af vareleverance</t>
  </si>
  <si>
    <t>17. Lukning af lift (alm. lift) ved afslutning af vareleverance</t>
  </si>
  <si>
    <t>4. Lift fra vognbund til lukke ved afslutning af vareleverance</t>
  </si>
  <si>
    <t>9. CC Euro Rollcontainer (Piek-cert.), kørsel  med belastning, ujævnt</t>
  </si>
  <si>
    <t>10. CC Euro Rollcontainer (Piek-cert.), kørsel  uden belastning, ujævnt</t>
  </si>
  <si>
    <t>11. CC Euro Rollcontainer (Piek-cert.), kørsel med belastning, jævnt</t>
  </si>
  <si>
    <t>12. CC Euro Rollcontainer (Piek-cert.), kørsel uden belastning, jævnt</t>
  </si>
  <si>
    <t>5. Montering af afstivning i vognkasse</t>
  </si>
  <si>
    <t>2. Dørsmæk, lastbil</t>
  </si>
  <si>
    <t>12. Trykluftafblæsning</t>
  </si>
  <si>
    <t>3. Flytning af afstivning i vognkasse</t>
  </si>
  <si>
    <r>
      <rPr>
        <b/>
        <sz val="14"/>
        <color theme="1"/>
        <rFont val="Verdana"/>
        <family val="2"/>
      </rPr>
      <t>Felt 3: Afstandsforhold</t>
    </r>
    <r>
      <rPr>
        <sz val="14"/>
        <color theme="1"/>
        <rFont val="Verdana"/>
        <family val="2"/>
      </rPr>
      <t xml:space="preserve">
Der skal angives en afstand fra beregningspunktet til det nærmeste punkt på den del af kørevejen, der er på butikkens område. Kørevejen er den rute som køretøjet gennemfører fra ankomst til den forlader området. Se de to figurer herunder. I eksemplet til venstre er afstanden fra beregningspunkt 1 til kørevejen 20 meter og i eksemplet til højre er afstanden 220 meter.
Der skal desuden angives en afstand til det sted, hvor aflæsseoperationen finder sted, dvs. aflæsserampe, varegård, varerum etc. På figurene herunder er afstandene henholdsvis 70 meter og 260 meter.</t>
    </r>
  </si>
  <si>
    <t>Eksempel 1</t>
  </si>
  <si>
    <t>Eksempel 2</t>
  </si>
  <si>
    <r>
      <rPr>
        <b/>
        <sz val="14"/>
        <color theme="1"/>
        <rFont val="Verdana"/>
        <family val="2"/>
      </rPr>
      <t>Felt 4: Aflæsseoperationer</t>
    </r>
    <r>
      <rPr>
        <sz val="14"/>
        <color theme="1"/>
        <rFont val="Verdana"/>
        <family val="2"/>
      </rPr>
      <t xml:space="preserve">
Det skal for hver leverance angives, hvor mange, der forekommer i løbet af referencetidsrummet. Referencetidsrummet skal være det mest støjbelastede i løbet af beregningsperioden,
Eksempel: Beregningsperiode nat kl. 22 - 07, referencetidsrum ½ time. Det skal angives, hvor mange leverancer der maksimalt forekommer i løbet af den samme halve time i tidsrummet kl. 22 - 07. Hvis der gennemføres 2 leverancer i tidsrummet kl. 5.00 - 5.30 er antallet 2. Hvis der gennemføres én kl. 5.00 - 5.30 og en anden kl. 6.00 - 6.30 er antallet 1. I dagperioden skal man angive antallet for de sammenhængende 8 timer, hvor der er flest. Tilsvarende for aftenperioden, hvor antallet skal angives for den sammenhængende hele time, hvor der er flest leverancer.     
Endelig skal det angives, hvor lang tid hver aflæsseoperation varer. Der skal angives det antal minutter, det varer at gennemføre aflæsningen, mens køretid fra matrikelgrænse til/fra aflæssestedet ikke skal medregnes.  </t>
    </r>
  </si>
  <si>
    <t>5. Ringeklokke for kontakt til personale ved varegård</t>
  </si>
  <si>
    <t>6. Smæld fra udfoldet læsserampe ved frakørsel af lastbil.</t>
  </si>
  <si>
    <t>9. Åbning af bagdøre på trailer</t>
  </si>
  <si>
    <t xml:space="preserve">Beregningsmodellen er udarbejdet for Miljøstyrelsen af Rambøll 2014.08.26. Miljøstyrelsen og Rambøll påtager sig intet ansvar for evt. fejl og mangler. </t>
  </si>
  <si>
    <t>Beregning af støj fra varelevering ver. 0</t>
  </si>
  <si>
    <t>RUMLE - en enkel beregningsmodel ver. 0</t>
  </si>
  <si>
    <t>Teknisk modelbeskrivelse ver. 0</t>
  </si>
  <si>
    <t xml:space="preserve">Dette regneark er en del af Miljøstyrelsens miljøprojekt "Støjsvag varelevering til butikker", 2014. Det kan anvendes til forenklede beregninger af støj fra varelevering til et beregningspunkt, fx en nabo, i butikkens omgivelser. Modellen er først og fremmest tænkt som et redskab til at danne sig et overblik over betydningen af forskellige støjkilder og den støjdæmpning, der kan opnås ved optimal indretning af et butiksområde og brug af mindre støjende materiel. Modellen kan også illustrere om det er realistisk at gennemføre varelevering i ydertimer.  Hvis modellen viser, at det er muligt, fortæller den samtidig, hvilke forudsætninger der skal være opfyldt.  Regnearket er delt op i en forenklet udgave og en avanceret udgave. Den forenklede model giver mulighed for at regne på sammensatte vareleverancer, mens den avancerede model giver mulighed for selv at sammensætte individuelle vareleverancer med såvel almindeligt som støjsvagt udstyr. Med den avancerede beregningsmodel, kan der sammesættes en vareleverance de er relevant for den pågældende butik. Den avancerede model kræver et godt kendskab til beregningsmetoden, støjkilderne som indgår i vareleverancen, deres varighed samt betydningen af drifttidskorrektion.
Som udgangspunkt kan modellen betragtes som svarende til en orienterende støjmåling. Den kan derfor ikke anvendes som eneste grundlag for påbud i forbindelse med eksisterende butikker. I disse situationer vil der normalt være brug for en ”miljømåling – ekstern støj”. Ved lokalplanlægning bør modellen heller ikke være det eneste grundlag for lokalplanens redegørelsesdel med mindre modellen viser, at støjen vil være 5 - 10 dB eller mere under de vejledende grænseværdier.
Beregningsmodellen kan ikke tage højde for den reflekterende og støjafskærmende effekt af bygninger, hegn og støjskærme.
</t>
  </si>
  <si>
    <t>Miljøstyrelsen, Miljøprojekt nr. 1596 om støjsvag varelevering til butikker,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</si>
</sst>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4">
    <font>
      <sz val="9"/>
      <color theme="1"/>
      <name val="Verdana"/>
      <family val="2"/>
    </font>
    <font>
      <sz val="9"/>
      <color indexed="81"/>
      <name val="Tahoma"/>
      <family val="2"/>
    </font>
    <font>
      <b/>
      <sz val="9"/>
      <color indexed="81"/>
      <name val="Tahoma"/>
      <family val="2"/>
    </font>
    <font>
      <b/>
      <sz val="9"/>
      <color theme="1"/>
      <name val="Verdana"/>
      <family val="2"/>
    </font>
    <font>
      <sz val="12"/>
      <color theme="1"/>
      <name val="Verdana"/>
      <family val="2"/>
    </font>
    <font>
      <sz val="14"/>
      <color theme="1"/>
      <name val="Verdana"/>
      <family val="2"/>
    </font>
    <font>
      <sz val="16"/>
      <color theme="1"/>
      <name val="Verdana"/>
      <family val="2"/>
    </font>
    <font>
      <vertAlign val="subscript"/>
      <sz val="12"/>
      <color theme="1"/>
      <name val="Verdana"/>
      <family val="2"/>
    </font>
    <font>
      <b/>
      <sz val="10"/>
      <color theme="1"/>
      <name val="Verdana"/>
      <family val="2"/>
    </font>
    <font>
      <b/>
      <vertAlign val="subscript"/>
      <sz val="9"/>
      <color theme="1"/>
      <name val="Verdana"/>
      <family val="2"/>
    </font>
    <font>
      <b/>
      <sz val="12"/>
      <color theme="1"/>
      <name val="Verdana"/>
      <family val="2"/>
    </font>
    <font>
      <b/>
      <vertAlign val="subscript"/>
      <sz val="12"/>
      <color theme="1"/>
      <name val="Verdana"/>
      <family val="2"/>
    </font>
    <font>
      <sz val="11"/>
      <color theme="1"/>
      <name val="Verdana"/>
      <family val="2"/>
    </font>
    <font>
      <b/>
      <sz val="11"/>
      <color theme="1"/>
      <name val="Verdana"/>
      <family val="2"/>
    </font>
    <font>
      <b/>
      <sz val="14"/>
      <color theme="1"/>
      <name val="Verdana"/>
      <family val="2"/>
    </font>
    <font>
      <sz val="20"/>
      <color theme="1"/>
      <name val="Verdana"/>
      <family val="2"/>
    </font>
    <font>
      <sz val="9"/>
      <color theme="1"/>
      <name val="Verdana"/>
      <family val="2"/>
    </font>
    <font>
      <sz val="9"/>
      <name val="Verdana"/>
      <family val="2"/>
    </font>
    <font>
      <sz val="10"/>
      <name val="Arial"/>
      <family val="2"/>
    </font>
    <font>
      <sz val="11"/>
      <name val="Calibri"/>
      <family val="2"/>
      <scheme val="minor"/>
    </font>
    <font>
      <b/>
      <i/>
      <sz val="10"/>
      <color theme="1"/>
      <name val="Verdana"/>
      <family val="2"/>
    </font>
    <font>
      <i/>
      <sz val="9"/>
      <color theme="1"/>
      <name val="Verdana"/>
      <family val="2"/>
    </font>
    <font>
      <b/>
      <vertAlign val="subscript"/>
      <sz val="14"/>
      <color theme="1"/>
      <name val="Verdana"/>
      <family val="2"/>
    </font>
    <font>
      <vertAlign val="superscript"/>
      <sz val="14"/>
      <color theme="1"/>
      <name val="Verdana"/>
      <family val="2"/>
    </font>
    <font>
      <b/>
      <sz val="16"/>
      <color theme="1"/>
      <name val="Verdana"/>
      <family val="2"/>
    </font>
    <font>
      <b/>
      <vertAlign val="subscript"/>
      <sz val="16"/>
      <color theme="1"/>
      <name val="Verdana"/>
      <family val="2"/>
    </font>
    <font>
      <sz val="9"/>
      <color rgb="FFFF0000"/>
      <name val="Verdana"/>
      <family val="2"/>
    </font>
    <font>
      <sz val="28"/>
      <color theme="1"/>
      <name val="Verdana"/>
      <family val="2"/>
    </font>
    <font>
      <u/>
      <sz val="14"/>
      <color theme="1"/>
      <name val="Verdana"/>
      <family val="2"/>
    </font>
    <font>
      <sz val="10"/>
      <color rgb="FF008FBC"/>
      <name val="Calibri"/>
      <family val="2"/>
      <scheme val="minor"/>
    </font>
    <font>
      <sz val="8"/>
      <color theme="1"/>
      <name val="Helvetica-Narrow"/>
      <family val="2"/>
    </font>
    <font>
      <sz val="9"/>
      <color theme="0"/>
      <name val="Verdana"/>
      <family val="2"/>
    </font>
    <font>
      <sz val="36"/>
      <color theme="0"/>
      <name val="Verdana"/>
      <family val="2"/>
    </font>
    <font>
      <sz val="34"/>
      <color theme="0"/>
      <name val="Verdana"/>
      <family val="2"/>
    </font>
  </fonts>
  <fills count="11">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6" tint="0.39994506668294322"/>
        <bgColor indexed="64"/>
      </patternFill>
    </fill>
    <fill>
      <patternFill patternType="solid">
        <fgColor theme="4" tint="0.79998168889431442"/>
        <bgColor indexed="64"/>
      </patternFill>
    </fill>
    <fill>
      <patternFill patternType="solid">
        <fgColor rgb="FF00B0F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8" fillId="0" borderId="0"/>
    <xf numFmtId="0" fontId="16" fillId="0" borderId="0"/>
    <xf numFmtId="0" fontId="16" fillId="0" borderId="0"/>
    <xf numFmtId="3" fontId="29" fillId="9" borderId="0" applyBorder="0" applyAlignment="0">
      <protection locked="0"/>
    </xf>
  </cellStyleXfs>
  <cellXfs count="200">
    <xf numFmtId="0" fontId="0" fillId="0" borderId="0" xfId="0"/>
    <xf numFmtId="0" fontId="0" fillId="0" borderId="0" xfId="0" applyAlignment="1">
      <alignment horizontal="center"/>
    </xf>
    <xf numFmtId="0" fontId="4" fillId="0" borderId="0" xfId="0" applyFont="1"/>
    <xf numFmtId="0" fontId="6" fillId="0" borderId="0" xfId="0" applyFont="1"/>
    <xf numFmtId="0" fontId="0" fillId="0" borderId="0" xfId="0" applyBorder="1"/>
    <xf numFmtId="0" fontId="3" fillId="0" borderId="0" xfId="0" applyFont="1" applyAlignment="1">
      <alignment horizontal="center"/>
    </xf>
    <xf numFmtId="0" fontId="0" fillId="0" borderId="3" xfId="0" applyBorder="1"/>
    <xf numFmtId="0" fontId="0" fillId="0" borderId="9" xfId="0" applyBorder="1"/>
    <xf numFmtId="0" fontId="0" fillId="0" borderId="10" xfId="0" applyBorder="1"/>
    <xf numFmtId="0" fontId="0" fillId="0" borderId="11" xfId="0" applyBorder="1"/>
    <xf numFmtId="0" fontId="5" fillId="2" borderId="5" xfId="0" applyFont="1" applyFill="1" applyBorder="1"/>
    <xf numFmtId="0" fontId="0" fillId="2" borderId="4" xfId="0" applyFill="1" applyBorder="1"/>
    <xf numFmtId="0" fontId="0" fillId="2" borderId="6" xfId="0" applyFill="1" applyBorder="1"/>
    <xf numFmtId="0" fontId="8" fillId="2" borderId="5" xfId="0" applyFont="1" applyFill="1" applyBorder="1"/>
    <xf numFmtId="0" fontId="3" fillId="2" borderId="6" xfId="0" applyFont="1" applyFill="1" applyBorder="1"/>
    <xf numFmtId="0" fontId="3" fillId="2" borderId="1" xfId="0" applyFont="1" applyFill="1" applyBorder="1" applyAlignment="1">
      <alignment horizontal="center" wrapText="1"/>
    </xf>
    <xf numFmtId="0" fontId="0" fillId="0" borderId="0" xfId="0" applyFill="1" applyBorder="1"/>
    <xf numFmtId="0" fontId="5" fillId="2" borderId="4" xfId="0" applyFont="1" applyFill="1" applyBorder="1" applyAlignment="1">
      <alignment vertical="center"/>
    </xf>
    <xf numFmtId="0" fontId="0" fillId="0" borderId="2" xfId="0" applyBorder="1"/>
    <xf numFmtId="1" fontId="4" fillId="0" borderId="0" xfId="0" applyNumberFormat="1" applyFont="1"/>
    <xf numFmtId="0" fontId="10" fillId="5" borderId="5" xfId="0" applyFont="1" applyFill="1" applyBorder="1"/>
    <xf numFmtId="0" fontId="10" fillId="5" borderId="4" xfId="0" applyFont="1" applyFill="1" applyBorder="1"/>
    <xf numFmtId="0" fontId="3" fillId="5" borderId="4" xfId="0" applyFont="1" applyFill="1" applyBorder="1"/>
    <xf numFmtId="0" fontId="3" fillId="5" borderId="6" xfId="0" applyFont="1" applyFill="1" applyBorder="1"/>
    <xf numFmtId="0" fontId="5" fillId="0" borderId="0" xfId="0" applyFont="1" applyFill="1" applyBorder="1"/>
    <xf numFmtId="0" fontId="0" fillId="0" borderId="0" xfId="0" applyFill="1"/>
    <xf numFmtId="0" fontId="12" fillId="0" borderId="0" xfId="0" applyFont="1"/>
    <xf numFmtId="0" fontId="12" fillId="0" borderId="5" xfId="0" applyFont="1" applyFill="1" applyBorder="1"/>
    <xf numFmtId="0" fontId="12" fillId="0" borderId="4" xfId="0" applyFont="1" applyFill="1" applyBorder="1"/>
    <xf numFmtId="0" fontId="13" fillId="0" borderId="4" xfId="0" applyFont="1" applyFill="1" applyBorder="1" applyAlignment="1">
      <alignment horizontal="center"/>
    </xf>
    <xf numFmtId="0" fontId="12" fillId="0" borderId="0" xfId="0" applyFont="1" applyFill="1" applyBorder="1"/>
    <xf numFmtId="0" fontId="5" fillId="0" borderId="4" xfId="0" applyFont="1" applyFill="1" applyBorder="1" applyAlignment="1">
      <alignment horizontal="center"/>
    </xf>
    <xf numFmtId="0" fontId="14" fillId="2" borderId="4" xfId="0" applyFont="1" applyFill="1" applyBorder="1" applyAlignment="1">
      <alignment vertical="center"/>
    </xf>
    <xf numFmtId="0" fontId="0" fillId="0" borderId="7" xfId="0" applyFont="1" applyBorder="1"/>
    <xf numFmtId="0" fontId="0" fillId="0" borderId="13" xfId="0" applyFont="1" applyBorder="1"/>
    <xf numFmtId="0" fontId="0" fillId="0" borderId="8" xfId="0" applyFont="1" applyBorder="1"/>
    <xf numFmtId="0" fontId="0" fillId="0" borderId="10" xfId="0" applyFont="1" applyBorder="1"/>
    <xf numFmtId="0" fontId="0" fillId="0" borderId="2" xfId="0" applyFont="1" applyBorder="1"/>
    <xf numFmtId="0" fontId="0" fillId="0" borderId="11" xfId="0" applyFont="1" applyBorder="1"/>
    <xf numFmtId="0" fontId="0" fillId="0" borderId="10" xfId="0" applyFont="1" applyFill="1" applyBorder="1"/>
    <xf numFmtId="0" fontId="4" fillId="2" borderId="5" xfId="0" applyFont="1" applyFill="1" applyBorder="1"/>
    <xf numFmtId="0" fontId="4" fillId="2" borderId="4" xfId="0" applyFont="1" applyFill="1" applyBorder="1"/>
    <xf numFmtId="0" fontId="0" fillId="0" borderId="5" xfId="0" applyFont="1" applyBorder="1"/>
    <xf numFmtId="0" fontId="0" fillId="0" borderId="4" xfId="0" applyFont="1" applyFill="1" applyBorder="1"/>
    <xf numFmtId="0" fontId="0" fillId="0" borderId="6" xfId="0" applyFont="1" applyFill="1" applyBorder="1"/>
    <xf numFmtId="0" fontId="0" fillId="0" borderId="0" xfId="0" applyFont="1" applyBorder="1"/>
    <xf numFmtId="0" fontId="0" fillId="0" borderId="3" xfId="0" applyFont="1" applyBorder="1"/>
    <xf numFmtId="0" fontId="0" fillId="0" borderId="9" xfId="0" applyFont="1" applyBorder="1"/>
    <xf numFmtId="0" fontId="0" fillId="0" borderId="7" xfId="0" applyFont="1" applyFill="1" applyBorder="1"/>
    <xf numFmtId="0" fontId="0" fillId="0" borderId="8" xfId="0" applyFont="1" applyFill="1" applyBorder="1"/>
    <xf numFmtId="0" fontId="0" fillId="0" borderId="7" xfId="0" applyBorder="1"/>
    <xf numFmtId="0" fontId="0" fillId="0" borderId="13" xfId="0" applyBorder="1"/>
    <xf numFmtId="0" fontId="0" fillId="0" borderId="8" xfId="0" applyBorder="1"/>
    <xf numFmtId="0" fontId="3" fillId="3" borderId="12" xfId="0" applyFont="1" applyFill="1" applyBorder="1" applyAlignment="1" applyProtection="1">
      <alignment horizontal="center"/>
      <protection locked="0"/>
    </xf>
    <xf numFmtId="9" fontId="3" fillId="0" borderId="14" xfId="0" applyNumberFormat="1" applyFont="1" applyBorder="1" applyAlignment="1" applyProtection="1">
      <alignment horizontal="center"/>
      <protection locked="0"/>
    </xf>
    <xf numFmtId="0" fontId="3" fillId="3" borderId="11" xfId="0" applyFont="1" applyFill="1" applyBorder="1" applyAlignment="1" applyProtection="1">
      <alignment horizontal="center"/>
      <protection locked="0"/>
    </xf>
    <xf numFmtId="9" fontId="3" fillId="0" borderId="12" xfId="0" applyNumberFormat="1" applyFont="1" applyBorder="1" applyAlignment="1" applyProtection="1">
      <alignment horizontal="center"/>
      <protection locked="0"/>
    </xf>
    <xf numFmtId="0" fontId="3" fillId="3" borderId="1" xfId="0" applyFont="1" applyFill="1" applyBorder="1" applyAlignment="1" applyProtection="1">
      <alignment horizontal="center"/>
      <protection locked="0"/>
    </xf>
    <xf numFmtId="0" fontId="3" fillId="3" borderId="6" xfId="0" applyFont="1" applyFill="1" applyBorder="1" applyAlignment="1" applyProtection="1">
      <alignment horizontal="center"/>
      <protection locked="0"/>
    </xf>
    <xf numFmtId="9" fontId="3" fillId="0" borderId="1" xfId="0" applyNumberFormat="1" applyFont="1" applyBorder="1" applyAlignment="1" applyProtection="1">
      <alignment horizontal="center"/>
      <protection locked="0"/>
    </xf>
    <xf numFmtId="0" fontId="0" fillId="3" borderId="6" xfId="0" applyFill="1" applyBorder="1"/>
    <xf numFmtId="0" fontId="15" fillId="0" borderId="0" xfId="0" applyFont="1"/>
    <xf numFmtId="0" fontId="0" fillId="3" borderId="1" xfId="0" applyFont="1" applyFill="1" applyBorder="1"/>
    <xf numFmtId="0" fontId="0" fillId="4" borderId="1" xfId="0" applyFont="1" applyFill="1" applyBorder="1" applyAlignment="1">
      <alignment horizontal="center" wrapText="1"/>
    </xf>
    <xf numFmtId="0" fontId="0" fillId="4" borderId="1" xfId="0" applyFont="1" applyFill="1" applyBorder="1" applyAlignment="1">
      <alignment horizontal="center"/>
    </xf>
    <xf numFmtId="0" fontId="3" fillId="2" borderId="1" xfId="0" applyFont="1" applyFill="1" applyBorder="1"/>
    <xf numFmtId="0" fontId="0" fillId="0" borderId="12" xfId="0" applyFont="1" applyFill="1" applyBorder="1"/>
    <xf numFmtId="0" fontId="17" fillId="6" borderId="1" xfId="0" applyFont="1" applyFill="1" applyBorder="1" applyAlignment="1"/>
    <xf numFmtId="0" fontId="12" fillId="7" borderId="5" xfId="0" applyFont="1" applyFill="1" applyBorder="1"/>
    <xf numFmtId="0" fontId="12" fillId="7" borderId="4" xfId="0" applyFont="1" applyFill="1" applyBorder="1"/>
    <xf numFmtId="0" fontId="12" fillId="7" borderId="6" xfId="0" applyFont="1" applyFill="1" applyBorder="1"/>
    <xf numFmtId="0" fontId="0" fillId="7" borderId="1" xfId="0" applyFill="1" applyBorder="1" applyAlignment="1">
      <alignment horizontal="center"/>
    </xf>
    <xf numFmtId="9" fontId="0" fillId="7" borderId="1" xfId="0" applyNumberFormat="1" applyFill="1" applyBorder="1" applyAlignment="1">
      <alignment horizontal="center"/>
    </xf>
    <xf numFmtId="0" fontId="3" fillId="2" borderId="1" xfId="0" applyFont="1" applyFill="1" applyBorder="1" applyAlignment="1">
      <alignment horizontal="center" vertical="top" wrapText="1"/>
    </xf>
    <xf numFmtId="0" fontId="3" fillId="0" borderId="0" xfId="0" applyFont="1" applyAlignment="1">
      <alignment horizontal="left" vertical="center"/>
    </xf>
    <xf numFmtId="0" fontId="0" fillId="0" borderId="0" xfId="0" applyFont="1" applyAlignment="1">
      <alignment horizontal="right" vertical="center"/>
    </xf>
    <xf numFmtId="0" fontId="5" fillId="0" borderId="0" xfId="0" applyFont="1"/>
    <xf numFmtId="0" fontId="24" fillId="0" borderId="0" xfId="0" applyFont="1"/>
    <xf numFmtId="0" fontId="0" fillId="0" borderId="0" xfId="0" applyFont="1"/>
    <xf numFmtId="0" fontId="5" fillId="0" borderId="0" xfId="0" applyFont="1" applyAlignment="1">
      <alignment vertical="top" wrapText="1"/>
    </xf>
    <xf numFmtId="0" fontId="0" fillId="0" borderId="0" xfId="0" quotePrefix="1"/>
    <xf numFmtId="0" fontId="0" fillId="0" borderId="5" xfId="0" applyBorder="1"/>
    <xf numFmtId="0" fontId="0" fillId="0" borderId="4" xfId="0" applyBorder="1"/>
    <xf numFmtId="0" fontId="0" fillId="0" borderId="6" xfId="0" applyBorder="1"/>
    <xf numFmtId="0" fontId="0" fillId="0" borderId="1" xfId="0" applyBorder="1"/>
    <xf numFmtId="0" fontId="26" fillId="0" borderId="3" xfId="0" applyFont="1" applyBorder="1"/>
    <xf numFmtId="0" fontId="26" fillId="0" borderId="0" xfId="0" applyFont="1" applyBorder="1"/>
    <xf numFmtId="0" fontId="17" fillId="0" borderId="3" xfId="0" applyFont="1" applyBorder="1"/>
    <xf numFmtId="0" fontId="17" fillId="0" borderId="0" xfId="0" applyFont="1" applyBorder="1"/>
    <xf numFmtId="0" fontId="17" fillId="0" borderId="9" xfId="0" applyFont="1" applyBorder="1"/>
    <xf numFmtId="0" fontId="27" fillId="0" borderId="0" xfId="0" applyFont="1"/>
    <xf numFmtId="0" fontId="16" fillId="0" borderId="0" xfId="2"/>
    <xf numFmtId="0" fontId="3" fillId="2" borderId="1" xfId="3" applyFont="1" applyFill="1" applyBorder="1" applyAlignment="1">
      <alignment horizontal="center" wrapText="1"/>
    </xf>
    <xf numFmtId="0" fontId="3" fillId="2" borderId="7" xfId="3" applyFont="1" applyFill="1" applyBorder="1"/>
    <xf numFmtId="0" fontId="16" fillId="3" borderId="5" xfId="3" applyFill="1" applyBorder="1"/>
    <xf numFmtId="1" fontId="16" fillId="4" borderId="1" xfId="2" applyNumberFormat="1" applyFill="1" applyBorder="1" applyAlignment="1">
      <alignment horizontal="center"/>
    </xf>
    <xf numFmtId="9" fontId="16" fillId="4" borderId="1" xfId="2" applyNumberFormat="1" applyFill="1" applyBorder="1" applyAlignment="1">
      <alignment horizontal="center"/>
    </xf>
    <xf numFmtId="1" fontId="0" fillId="7" borderId="1" xfId="0" applyNumberFormat="1" applyFill="1" applyBorder="1" applyAlignment="1">
      <alignment horizontal="center"/>
    </xf>
    <xf numFmtId="0" fontId="21" fillId="7" borderId="5" xfId="0" applyFont="1" applyFill="1" applyBorder="1" applyAlignment="1"/>
    <xf numFmtId="0" fontId="0" fillId="7" borderId="4" xfId="0" applyFill="1" applyBorder="1" applyAlignment="1"/>
    <xf numFmtId="0" fontId="0" fillId="7" borderId="6" xfId="0" applyFill="1" applyBorder="1" applyAlignment="1"/>
    <xf numFmtId="0" fontId="16" fillId="3" borderId="5" xfId="3" quotePrefix="1" applyFill="1" applyBorder="1"/>
    <xf numFmtId="1" fontId="16" fillId="4" borderId="1" xfId="3" applyNumberFormat="1" applyFill="1" applyBorder="1" applyAlignment="1">
      <alignment horizontal="center"/>
    </xf>
    <xf numFmtId="9" fontId="16" fillId="4" borderId="1" xfId="3" applyNumberFormat="1" applyFill="1" applyBorder="1" applyAlignment="1">
      <alignment horizontal="center"/>
    </xf>
    <xf numFmtId="1" fontId="16" fillId="8" borderId="1" xfId="3" applyNumberFormat="1" applyFill="1" applyBorder="1" applyAlignment="1">
      <alignment horizontal="left"/>
    </xf>
    <xf numFmtId="1" fontId="16" fillId="8" borderId="1" xfId="3" applyNumberFormat="1" applyFill="1" applyBorder="1" applyAlignment="1">
      <alignment horizontal="center"/>
    </xf>
    <xf numFmtId="0" fontId="17" fillId="6" borderId="1" xfId="3" applyFont="1" applyFill="1" applyBorder="1" applyAlignment="1"/>
    <xf numFmtId="0" fontId="0" fillId="3" borderId="5" xfId="3" applyFont="1" applyFill="1" applyBorder="1"/>
    <xf numFmtId="0" fontId="0" fillId="3" borderId="5" xfId="3" quotePrefix="1" applyFont="1" applyFill="1" applyBorder="1"/>
    <xf numFmtId="9" fontId="0" fillId="4" borderId="1" xfId="3" applyNumberFormat="1" applyFont="1" applyFill="1" applyBorder="1" applyAlignment="1">
      <alignment horizontal="center"/>
    </xf>
    <xf numFmtId="1" fontId="0" fillId="8" borderId="1" xfId="3" quotePrefix="1" applyNumberFormat="1" applyFont="1" applyFill="1" applyBorder="1" applyAlignment="1">
      <alignment horizontal="center"/>
    </xf>
    <xf numFmtId="10" fontId="0" fillId="7" borderId="1" xfId="0" applyNumberFormat="1" applyFill="1" applyBorder="1" applyAlignment="1">
      <alignment horizontal="center"/>
    </xf>
    <xf numFmtId="1" fontId="16" fillId="8" borderId="1" xfId="2" applyNumberFormat="1" applyFill="1" applyBorder="1" applyAlignment="1">
      <alignment horizontal="center"/>
    </xf>
    <xf numFmtId="0" fontId="0" fillId="8" borderId="1" xfId="0" applyFill="1" applyBorder="1"/>
    <xf numFmtId="164" fontId="19" fillId="8" borderId="1" xfId="0" applyNumberFormat="1" applyFont="1" applyFill="1" applyBorder="1"/>
    <xf numFmtId="1" fontId="0" fillId="8" borderId="1" xfId="0" applyNumberFormat="1" applyFill="1" applyBorder="1" applyAlignment="1">
      <alignment horizontal="center"/>
    </xf>
    <xf numFmtId="1" fontId="19" fillId="8" borderId="1" xfId="0" applyNumberFormat="1" applyFont="1" applyFill="1" applyBorder="1" applyAlignment="1">
      <alignment horizontal="center"/>
    </xf>
    <xf numFmtId="0" fontId="0" fillId="8" borderId="1" xfId="0" applyFill="1" applyBorder="1" applyAlignment="1">
      <alignment horizontal="center"/>
    </xf>
    <xf numFmtId="0" fontId="3" fillId="2" borderId="1" xfId="0" applyFont="1" applyFill="1" applyBorder="1" applyAlignment="1">
      <alignment horizontal="left" wrapText="1"/>
    </xf>
    <xf numFmtId="0" fontId="0" fillId="0" borderId="0" xfId="0" applyAlignment="1">
      <alignment vertical="center"/>
    </xf>
    <xf numFmtId="0" fontId="3" fillId="0" borderId="0" xfId="0" applyFont="1" applyAlignment="1">
      <alignment vertical="center"/>
    </xf>
    <xf numFmtId="0" fontId="17" fillId="6" borderId="1" xfId="0" applyFont="1" applyFill="1" applyBorder="1" applyAlignment="1">
      <alignment wrapText="1"/>
    </xf>
    <xf numFmtId="1" fontId="0" fillId="8" borderId="1" xfId="3" applyNumberFormat="1" applyFont="1" applyFill="1" applyBorder="1" applyAlignment="1">
      <alignment horizontal="left"/>
    </xf>
    <xf numFmtId="0" fontId="3" fillId="2" borderId="7" xfId="3" applyFont="1" applyFill="1" applyBorder="1" applyAlignment="1">
      <alignment horizontal="center"/>
    </xf>
    <xf numFmtId="0" fontId="30" fillId="3" borderId="5" xfId="0" applyFont="1" applyFill="1" applyBorder="1"/>
    <xf numFmtId="0" fontId="30" fillId="3" borderId="5" xfId="0" applyFont="1" applyFill="1" applyBorder="1" applyProtection="1">
      <protection locked="0"/>
    </xf>
    <xf numFmtId="0" fontId="0" fillId="3" borderId="5" xfId="0" applyFill="1" applyBorder="1" applyProtection="1">
      <protection locked="0"/>
    </xf>
    <xf numFmtId="0" fontId="32" fillId="10" borderId="0" xfId="0" applyFont="1" applyFill="1"/>
    <xf numFmtId="0" fontId="31" fillId="10" borderId="0" xfId="0" applyFont="1" applyFill="1"/>
    <xf numFmtId="0" fontId="3" fillId="0" borderId="0" xfId="0" applyFont="1" applyFill="1"/>
    <xf numFmtId="0" fontId="33" fillId="10" borderId="0" xfId="0" applyFont="1" applyFill="1"/>
    <xf numFmtId="0" fontId="5" fillId="2" borderId="5" xfId="0" applyFont="1" applyFill="1" applyBorder="1" applyAlignment="1">
      <alignment horizontal="left"/>
    </xf>
    <xf numFmtId="0" fontId="5" fillId="2" borderId="4" xfId="0" applyFont="1" applyFill="1" applyBorder="1" applyAlignment="1">
      <alignment horizontal="left"/>
    </xf>
    <xf numFmtId="0" fontId="5" fillId="3" borderId="5" xfId="0" applyFont="1" applyFill="1" applyBorder="1" applyAlignment="1" applyProtection="1">
      <alignment horizontal="left"/>
      <protection locked="0"/>
    </xf>
    <xf numFmtId="0" fontId="5" fillId="3" borderId="6" xfId="0" applyFont="1" applyFill="1" applyBorder="1" applyAlignment="1" applyProtection="1">
      <protection locked="0"/>
    </xf>
    <xf numFmtId="0" fontId="5" fillId="3" borderId="14" xfId="0" applyFont="1" applyFill="1" applyBorder="1" applyAlignment="1" applyProtection="1">
      <alignment horizontal="center"/>
      <protection locked="0"/>
    </xf>
    <xf numFmtId="0" fontId="5" fillId="3" borderId="15" xfId="0" applyFont="1" applyFill="1" applyBorder="1" applyAlignment="1" applyProtection="1">
      <alignment horizontal="center"/>
      <protection locked="0"/>
    </xf>
    <xf numFmtId="0" fontId="5" fillId="2" borderId="6" xfId="0" applyFont="1" applyFill="1" applyBorder="1" applyAlignment="1">
      <alignment horizontal="left"/>
    </xf>
    <xf numFmtId="0" fontId="5" fillId="3" borderId="5" xfId="0" applyFont="1" applyFill="1" applyBorder="1" applyAlignment="1" applyProtection="1">
      <protection locked="0"/>
    </xf>
    <xf numFmtId="0" fontId="0" fillId="3" borderId="4" xfId="0" applyFill="1" applyBorder="1" applyAlignment="1" applyProtection="1">
      <protection locked="0"/>
    </xf>
    <xf numFmtId="0" fontId="0" fillId="3" borderId="6" xfId="0" applyFill="1" applyBorder="1" applyAlignment="1" applyProtection="1">
      <protection locked="0"/>
    </xf>
    <xf numFmtId="0" fontId="5" fillId="3" borderId="5" xfId="0" applyFont="1" applyFill="1" applyBorder="1" applyAlignment="1" applyProtection="1">
      <alignment horizontal="center"/>
      <protection locked="0"/>
    </xf>
    <xf numFmtId="0" fontId="5" fillId="3" borderId="6" xfId="0" applyFont="1" applyFill="1" applyBorder="1" applyAlignment="1" applyProtection="1">
      <alignment horizontal="center"/>
      <protection locked="0"/>
    </xf>
    <xf numFmtId="0" fontId="0" fillId="0" borderId="4" xfId="0" applyBorder="1" applyAlignment="1"/>
    <xf numFmtId="0" fontId="0" fillId="0" borderId="6" xfId="0" applyBorder="1" applyAlignment="1"/>
    <xf numFmtId="0" fontId="13" fillId="3" borderId="14" xfId="0" applyFont="1" applyFill="1" applyBorder="1" applyAlignment="1" applyProtection="1">
      <alignment horizontal="center"/>
      <protection locked="0"/>
    </xf>
    <xf numFmtId="0" fontId="13" fillId="3" borderId="15" xfId="0" applyFont="1" applyFill="1" applyBorder="1" applyAlignment="1" applyProtection="1">
      <alignment horizontal="center"/>
      <protection locked="0"/>
    </xf>
    <xf numFmtId="0" fontId="13" fillId="3" borderId="16" xfId="0" applyFont="1" applyFill="1" applyBorder="1" applyAlignment="1" applyProtection="1">
      <alignment horizontal="center"/>
      <protection locked="0"/>
    </xf>
    <xf numFmtId="0" fontId="0" fillId="0" borderId="7" xfId="0" applyFont="1" applyBorder="1" applyAlignment="1">
      <alignment wrapText="1"/>
    </xf>
    <xf numFmtId="0" fontId="0" fillId="0" borderId="13" xfId="0" applyFont="1" applyBorder="1" applyAlignment="1">
      <alignment wrapText="1"/>
    </xf>
    <xf numFmtId="0" fontId="0" fillId="0" borderId="8" xfId="0" applyFont="1" applyBorder="1" applyAlignment="1">
      <alignment wrapText="1"/>
    </xf>
    <xf numFmtId="0" fontId="0" fillId="0" borderId="10" xfId="0" applyFont="1" applyBorder="1" applyAlignment="1">
      <alignment wrapText="1"/>
    </xf>
    <xf numFmtId="0" fontId="0" fillId="0" borderId="2" xfId="0" applyFont="1" applyBorder="1" applyAlignment="1">
      <alignment wrapText="1"/>
    </xf>
    <xf numFmtId="0" fontId="0" fillId="0" borderId="11" xfId="0" applyFont="1" applyBorder="1" applyAlignment="1">
      <alignment wrapText="1"/>
    </xf>
    <xf numFmtId="0" fontId="5" fillId="2" borderId="5" xfId="0" applyFont="1" applyFill="1" applyBorder="1" applyAlignment="1"/>
    <xf numFmtId="0" fontId="3" fillId="2" borderId="5" xfId="0" applyFont="1" applyFill="1" applyBorder="1" applyAlignment="1">
      <alignment horizontal="center" vertical="top" wrapText="1"/>
    </xf>
    <xf numFmtId="0" fontId="0" fillId="2" borderId="4" xfId="0" applyFill="1" applyBorder="1" applyAlignment="1">
      <alignment horizontal="center" vertical="top" wrapText="1"/>
    </xf>
    <xf numFmtId="0" fontId="0" fillId="2" borderId="6" xfId="0" applyFill="1" applyBorder="1" applyAlignment="1">
      <alignment horizontal="center" vertical="top" wrapText="1"/>
    </xf>
    <xf numFmtId="0" fontId="0" fillId="0" borderId="7" xfId="0" applyBorder="1" applyAlignment="1">
      <alignment horizontal="center"/>
    </xf>
    <xf numFmtId="0" fontId="0" fillId="0" borderId="13" xfId="0" applyBorder="1" applyAlignment="1">
      <alignment horizontal="center"/>
    </xf>
    <xf numFmtId="0" fontId="0" fillId="0" borderId="8" xfId="0" applyBorder="1" applyAlignment="1">
      <alignment horizontal="center"/>
    </xf>
    <xf numFmtId="0" fontId="3" fillId="3" borderId="14" xfId="0" applyFont="1" applyFill="1" applyBorder="1" applyAlignment="1" applyProtection="1">
      <alignment horizontal="center"/>
      <protection locked="0"/>
    </xf>
    <xf numFmtId="0" fontId="3" fillId="3" borderId="15" xfId="0" applyFont="1" applyFill="1" applyBorder="1" applyAlignment="1" applyProtection="1">
      <alignment horizontal="center"/>
      <protection locked="0"/>
    </xf>
    <xf numFmtId="0" fontId="3" fillId="3" borderId="16" xfId="0" applyFont="1" applyFill="1" applyBorder="1" applyAlignment="1" applyProtection="1">
      <alignment horizontal="center"/>
      <protection locked="0"/>
    </xf>
    <xf numFmtId="0" fontId="21" fillId="7" borderId="5" xfId="0" applyFont="1" applyFill="1" applyBorder="1" applyAlignment="1"/>
    <xf numFmtId="0" fontId="0" fillId="7" borderId="4" xfId="0" applyFill="1" applyBorder="1" applyAlignment="1"/>
    <xf numFmtId="0" fontId="0" fillId="7" borderId="6" xfId="0" applyFill="1" applyBorder="1" applyAlignment="1"/>
    <xf numFmtId="0" fontId="20" fillId="7" borderId="5" xfId="0" applyFont="1" applyFill="1" applyBorder="1" applyAlignment="1"/>
    <xf numFmtId="0" fontId="20" fillId="7" borderId="1" xfId="0" applyFont="1" applyFill="1" applyBorder="1" applyAlignment="1"/>
    <xf numFmtId="0" fontId="0" fillId="7" borderId="1" xfId="0" applyFill="1" applyBorder="1" applyAlignment="1"/>
    <xf numFmtId="1" fontId="4" fillId="2" borderId="1" xfId="0" applyNumberFormat="1" applyFont="1" applyFill="1" applyBorder="1" applyAlignment="1">
      <alignment horizontal="center"/>
    </xf>
    <xf numFmtId="1" fontId="4" fillId="2" borderId="14" xfId="0" applyNumberFormat="1" applyFont="1" applyFill="1" applyBorder="1" applyAlignment="1">
      <alignment horizontal="center"/>
    </xf>
    <xf numFmtId="1" fontId="4" fillId="2" borderId="6" xfId="0" applyNumberFormat="1" applyFont="1" applyFill="1" applyBorder="1" applyAlignment="1">
      <alignment horizontal="center"/>
    </xf>
    <xf numFmtId="0" fontId="10" fillId="5" borderId="5" xfId="0" applyFont="1" applyFill="1" applyBorder="1" applyAlignment="1"/>
    <xf numFmtId="1" fontId="10" fillId="5" borderId="1" xfId="0" applyNumberFormat="1" applyFont="1" applyFill="1" applyBorder="1" applyAlignment="1">
      <alignment horizontal="center"/>
    </xf>
    <xf numFmtId="0" fontId="10" fillId="5" borderId="14" xfId="0" applyFont="1" applyFill="1" applyBorder="1" applyAlignment="1">
      <alignment horizontal="center"/>
    </xf>
    <xf numFmtId="1" fontId="10" fillId="5" borderId="6" xfId="0" applyNumberFormat="1" applyFont="1" applyFill="1" applyBorder="1" applyAlignment="1">
      <alignment horizontal="center"/>
    </xf>
    <xf numFmtId="0" fontId="10" fillId="5" borderId="1" xfId="0" applyFont="1" applyFill="1" applyBorder="1" applyAlignment="1">
      <alignment horizontal="center"/>
    </xf>
    <xf numFmtId="1" fontId="10" fillId="5" borderId="5" xfId="0" applyNumberFormat="1" applyFont="1" applyFill="1" applyBorder="1" applyAlignment="1">
      <alignment horizontal="center"/>
    </xf>
    <xf numFmtId="1" fontId="10" fillId="5" borderId="4" xfId="0" applyNumberFormat="1" applyFont="1" applyFill="1" applyBorder="1" applyAlignment="1">
      <alignment horizontal="center"/>
    </xf>
    <xf numFmtId="0" fontId="4" fillId="3" borderId="1" xfId="0" applyFont="1" applyFill="1" applyBorder="1" applyAlignment="1" applyProtection="1">
      <alignment horizontal="center"/>
      <protection locked="0"/>
    </xf>
    <xf numFmtId="0" fontId="4" fillId="3" borderId="14" xfId="0" applyFont="1" applyFill="1" applyBorder="1" applyAlignment="1" applyProtection="1">
      <alignment horizontal="center"/>
      <protection locked="0"/>
    </xf>
    <xf numFmtId="0" fontId="4" fillId="3" borderId="6" xfId="0" applyFont="1" applyFill="1" applyBorder="1" applyAlignment="1" applyProtection="1">
      <alignment horizontal="center"/>
      <protection locked="0"/>
    </xf>
    <xf numFmtId="0" fontId="5" fillId="3" borderId="16" xfId="0" applyFont="1" applyFill="1" applyBorder="1" applyAlignment="1" applyProtection="1">
      <alignment horizontal="center"/>
      <protection locked="0"/>
    </xf>
    <xf numFmtId="0" fontId="5" fillId="0" borderId="0" xfId="0" applyFont="1" applyAlignment="1">
      <alignment vertical="top" wrapText="1"/>
    </xf>
    <xf numFmtId="0" fontId="14" fillId="0" borderId="0" xfId="0" applyFont="1" applyAlignment="1">
      <alignment vertical="top" wrapText="1"/>
    </xf>
    <xf numFmtId="0" fontId="0" fillId="0" borderId="0" xfId="0" applyAlignment="1">
      <alignment vertical="top" wrapText="1"/>
    </xf>
    <xf numFmtId="0" fontId="5" fillId="0" borderId="0" xfId="0" applyFont="1" applyAlignment="1">
      <alignment vertical="top"/>
    </xf>
    <xf numFmtId="0" fontId="5" fillId="0" borderId="0" xfId="0" applyFont="1" applyAlignment="1">
      <alignment wrapText="1"/>
    </xf>
    <xf numFmtId="0" fontId="0" fillId="0" borderId="0" xfId="0" applyAlignment="1">
      <alignment wrapText="1"/>
    </xf>
    <xf numFmtId="0" fontId="3" fillId="2" borderId="5" xfId="0" applyFont="1" applyFill="1" applyBorder="1" applyAlignment="1">
      <alignment horizontal="center" wrapText="1"/>
    </xf>
    <xf numFmtId="0" fontId="3" fillId="2" borderId="4" xfId="0" applyFont="1" applyFill="1" applyBorder="1" applyAlignment="1">
      <alignment horizontal="center" wrapText="1"/>
    </xf>
    <xf numFmtId="0" fontId="3" fillId="2" borderId="6" xfId="0" applyFont="1" applyFill="1" applyBorder="1" applyAlignment="1">
      <alignment horizontal="center" wrapText="1"/>
    </xf>
    <xf numFmtId="0" fontId="3" fillId="2" borderId="5" xfId="3" applyFont="1" applyFill="1" applyBorder="1" applyAlignment="1">
      <alignment horizontal="center" wrapText="1"/>
    </xf>
    <xf numFmtId="0" fontId="3" fillId="2" borderId="4" xfId="3" applyFont="1" applyFill="1" applyBorder="1" applyAlignment="1">
      <alignment horizontal="center" wrapText="1"/>
    </xf>
    <xf numFmtId="0" fontId="3" fillId="2" borderId="6" xfId="3" applyFont="1" applyFill="1" applyBorder="1" applyAlignment="1">
      <alignment horizontal="center" wrapText="1"/>
    </xf>
    <xf numFmtId="0" fontId="3" fillId="2" borderId="17" xfId="3" applyFont="1" applyFill="1" applyBorder="1" applyAlignment="1">
      <alignment horizontal="center"/>
    </xf>
    <xf numFmtId="0" fontId="3" fillId="2" borderId="12" xfId="3" applyFont="1" applyFill="1" applyBorder="1" applyAlignment="1">
      <alignment horizontal="center"/>
    </xf>
    <xf numFmtId="0" fontId="3" fillId="2" borderId="4" xfId="3" applyFont="1" applyFill="1" applyBorder="1" applyAlignment="1">
      <alignment horizontal="center"/>
    </xf>
    <xf numFmtId="0" fontId="3" fillId="2" borderId="6" xfId="3" applyFont="1" applyFill="1" applyBorder="1" applyAlignment="1">
      <alignment horizontal="center"/>
    </xf>
  </cellXfs>
  <cellStyles count="5">
    <cellStyle name="InputCell" xfId="4"/>
    <cellStyle name="Normal" xfId="0" builtinId="0"/>
    <cellStyle name="Normal 2" xfId="3"/>
    <cellStyle name="Normal 3" xfId="1"/>
    <cellStyle name="Normal 9" xfId="2"/>
  </cellStyles>
  <dxfs count="42">
    <dxf>
      <font>
        <color theme="0"/>
      </font>
    </dxf>
    <dxf>
      <font>
        <color theme="5" tint="0.79998168889431442"/>
      </font>
      <fill>
        <patternFill>
          <bgColor theme="5" tint="0.7999816888943144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theme="0"/>
      </font>
    </dxf>
    <dxf>
      <font>
        <color theme="0"/>
      </font>
    </dxf>
    <dxf>
      <font>
        <color theme="0"/>
      </font>
    </dxf>
    <dxf>
      <font>
        <color theme="0"/>
      </font>
    </dxf>
    <dxf>
      <font>
        <color theme="5" tint="0.79998168889431442"/>
      </font>
      <fill>
        <patternFill>
          <bgColor theme="5" tint="0.79998168889431442"/>
        </patternFill>
      </fill>
    </dxf>
    <dxf>
      <font>
        <color theme="5" tint="0.79998168889431442"/>
      </font>
      <fill>
        <patternFill>
          <bgColor theme="5" tint="0.79998168889431442"/>
        </patternFill>
      </fill>
    </dxf>
    <dxf>
      <font>
        <color theme="0"/>
      </font>
    </dxf>
    <dxf>
      <font>
        <color theme="0"/>
      </font>
    </dxf>
    <dxf>
      <font>
        <color theme="0"/>
      </font>
    </dxf>
    <dxf>
      <font>
        <color theme="0"/>
      </font>
    </dxf>
    <dxf>
      <font>
        <color theme="0"/>
      </font>
    </dxf>
    <dxf>
      <font>
        <color theme="5" tint="0.79998168889431442"/>
      </font>
      <fill>
        <patternFill>
          <bgColor theme="5" tint="0.7999816888943144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theme="0"/>
      </font>
    </dxf>
    <dxf>
      <font>
        <color theme="0"/>
      </font>
    </dxf>
    <dxf>
      <font>
        <color theme="0"/>
      </font>
    </dxf>
    <dxf>
      <font>
        <color theme="0"/>
      </font>
    </dxf>
    <dxf>
      <font>
        <color theme="5" tint="0.79998168889431442"/>
      </font>
      <fill>
        <patternFill>
          <bgColor theme="5" tint="0.79998168889431442"/>
        </patternFill>
      </fill>
    </dxf>
    <dxf>
      <font>
        <color theme="5" tint="0.79998168889431442"/>
      </font>
      <fill>
        <patternFill>
          <bgColor theme="5" tint="0.79998168889431442"/>
        </patternFill>
      </fill>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oneCellAnchor>
    <xdr:from>
      <xdr:col>2</xdr:col>
      <xdr:colOff>266700</xdr:colOff>
      <xdr:row>12</xdr:row>
      <xdr:rowOff>0</xdr:rowOff>
    </xdr:from>
    <xdr:ext cx="184731" cy="264560"/>
    <xdr:sp macro="" textlink="">
      <xdr:nvSpPr>
        <xdr:cNvPr id="2" name="TextBox 1"/>
        <xdr:cNvSpPr txBox="1"/>
      </xdr:nvSpPr>
      <xdr:spPr>
        <a:xfrm>
          <a:off x="3838575" y="272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a-DK" sz="1100"/>
        </a:p>
      </xdr:txBody>
    </xdr:sp>
    <xdr:clientData/>
  </xdr:oneCellAnchor>
  <xdr:twoCellAnchor>
    <xdr:from>
      <xdr:col>14</xdr:col>
      <xdr:colOff>19050</xdr:colOff>
      <xdr:row>75</xdr:row>
      <xdr:rowOff>104775</xdr:rowOff>
    </xdr:from>
    <xdr:to>
      <xdr:col>18</xdr:col>
      <xdr:colOff>9525</xdr:colOff>
      <xdr:row>75</xdr:row>
      <xdr:rowOff>104775</xdr:rowOff>
    </xdr:to>
    <xdr:cxnSp macro="">
      <xdr:nvCxnSpPr>
        <xdr:cNvPr id="3" name="Straight Arrow Connector 2"/>
        <xdr:cNvCxnSpPr/>
      </xdr:nvCxnSpPr>
      <xdr:spPr>
        <a:xfrm flipH="1">
          <a:off x="10410825" y="13344525"/>
          <a:ext cx="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9525</xdr:colOff>
      <xdr:row>63</xdr:row>
      <xdr:rowOff>114300</xdr:rowOff>
    </xdr:from>
    <xdr:to>
      <xdr:col>22</xdr:col>
      <xdr:colOff>9526</xdr:colOff>
      <xdr:row>63</xdr:row>
      <xdr:rowOff>114300</xdr:rowOff>
    </xdr:to>
    <xdr:cxnSp macro="">
      <xdr:nvCxnSpPr>
        <xdr:cNvPr id="4" name="Straight Arrow Connector 3"/>
        <xdr:cNvCxnSpPr/>
      </xdr:nvCxnSpPr>
      <xdr:spPr>
        <a:xfrm flipH="1">
          <a:off x="10410825" y="11334750"/>
          <a:ext cx="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9525</xdr:colOff>
      <xdr:row>73</xdr:row>
      <xdr:rowOff>133350</xdr:rowOff>
    </xdr:from>
    <xdr:to>
      <xdr:col>18</xdr:col>
      <xdr:colOff>0</xdr:colOff>
      <xdr:row>73</xdr:row>
      <xdr:rowOff>133350</xdr:rowOff>
    </xdr:to>
    <xdr:cxnSp macro="">
      <xdr:nvCxnSpPr>
        <xdr:cNvPr id="5" name="Straight Arrow Connector 4"/>
        <xdr:cNvCxnSpPr/>
      </xdr:nvCxnSpPr>
      <xdr:spPr>
        <a:xfrm flipH="1">
          <a:off x="10410825" y="13049250"/>
          <a:ext cx="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9525</xdr:colOff>
      <xdr:row>65</xdr:row>
      <xdr:rowOff>104775</xdr:rowOff>
    </xdr:from>
    <xdr:to>
      <xdr:col>22</xdr:col>
      <xdr:colOff>9526</xdr:colOff>
      <xdr:row>65</xdr:row>
      <xdr:rowOff>104775</xdr:rowOff>
    </xdr:to>
    <xdr:cxnSp macro="">
      <xdr:nvCxnSpPr>
        <xdr:cNvPr id="6" name="Straight Arrow Connector 5"/>
        <xdr:cNvCxnSpPr/>
      </xdr:nvCxnSpPr>
      <xdr:spPr>
        <a:xfrm flipH="1">
          <a:off x="10410825" y="11649075"/>
          <a:ext cx="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9525</xdr:colOff>
      <xdr:row>67</xdr:row>
      <xdr:rowOff>104775</xdr:rowOff>
    </xdr:from>
    <xdr:to>
      <xdr:col>22</xdr:col>
      <xdr:colOff>9526</xdr:colOff>
      <xdr:row>67</xdr:row>
      <xdr:rowOff>104775</xdr:rowOff>
    </xdr:to>
    <xdr:cxnSp macro="">
      <xdr:nvCxnSpPr>
        <xdr:cNvPr id="7" name="Straight Arrow Connector 6"/>
        <xdr:cNvCxnSpPr/>
      </xdr:nvCxnSpPr>
      <xdr:spPr>
        <a:xfrm flipH="1">
          <a:off x="10410825" y="11972925"/>
          <a:ext cx="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266700</xdr:colOff>
      <xdr:row>12</xdr:row>
      <xdr:rowOff>0</xdr:rowOff>
    </xdr:from>
    <xdr:ext cx="184731" cy="264560"/>
    <xdr:sp macro="" textlink="">
      <xdr:nvSpPr>
        <xdr:cNvPr id="2" name="TextBox 1"/>
        <xdr:cNvSpPr txBox="1"/>
      </xdr:nvSpPr>
      <xdr:spPr>
        <a:xfrm>
          <a:off x="3838575" y="272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a-DK" sz="1100"/>
        </a:p>
      </xdr:txBody>
    </xdr:sp>
    <xdr:clientData/>
  </xdr:oneCellAnchor>
  <xdr:twoCellAnchor>
    <xdr:from>
      <xdr:col>14</xdr:col>
      <xdr:colOff>19050</xdr:colOff>
      <xdr:row>75</xdr:row>
      <xdr:rowOff>104775</xdr:rowOff>
    </xdr:from>
    <xdr:to>
      <xdr:col>18</xdr:col>
      <xdr:colOff>9525</xdr:colOff>
      <xdr:row>75</xdr:row>
      <xdr:rowOff>104775</xdr:rowOff>
    </xdr:to>
    <xdr:cxnSp macro="">
      <xdr:nvCxnSpPr>
        <xdr:cNvPr id="3" name="Straight Arrow Connector 2"/>
        <xdr:cNvCxnSpPr/>
      </xdr:nvCxnSpPr>
      <xdr:spPr>
        <a:xfrm flipH="1">
          <a:off x="10410825" y="13344525"/>
          <a:ext cx="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9525</xdr:colOff>
      <xdr:row>63</xdr:row>
      <xdr:rowOff>114300</xdr:rowOff>
    </xdr:from>
    <xdr:to>
      <xdr:col>22</xdr:col>
      <xdr:colOff>9526</xdr:colOff>
      <xdr:row>63</xdr:row>
      <xdr:rowOff>114300</xdr:rowOff>
    </xdr:to>
    <xdr:cxnSp macro="">
      <xdr:nvCxnSpPr>
        <xdr:cNvPr id="4" name="Straight Arrow Connector 3"/>
        <xdr:cNvCxnSpPr/>
      </xdr:nvCxnSpPr>
      <xdr:spPr>
        <a:xfrm flipH="1">
          <a:off x="10410825" y="11334750"/>
          <a:ext cx="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9525</xdr:colOff>
      <xdr:row>73</xdr:row>
      <xdr:rowOff>133350</xdr:rowOff>
    </xdr:from>
    <xdr:to>
      <xdr:col>18</xdr:col>
      <xdr:colOff>0</xdr:colOff>
      <xdr:row>73</xdr:row>
      <xdr:rowOff>133350</xdr:rowOff>
    </xdr:to>
    <xdr:cxnSp macro="">
      <xdr:nvCxnSpPr>
        <xdr:cNvPr id="5" name="Straight Arrow Connector 4"/>
        <xdr:cNvCxnSpPr/>
      </xdr:nvCxnSpPr>
      <xdr:spPr>
        <a:xfrm flipH="1">
          <a:off x="10410825" y="13049250"/>
          <a:ext cx="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9525</xdr:colOff>
      <xdr:row>65</xdr:row>
      <xdr:rowOff>104775</xdr:rowOff>
    </xdr:from>
    <xdr:to>
      <xdr:col>22</xdr:col>
      <xdr:colOff>9526</xdr:colOff>
      <xdr:row>65</xdr:row>
      <xdr:rowOff>104775</xdr:rowOff>
    </xdr:to>
    <xdr:cxnSp macro="">
      <xdr:nvCxnSpPr>
        <xdr:cNvPr id="6" name="Straight Arrow Connector 5"/>
        <xdr:cNvCxnSpPr/>
      </xdr:nvCxnSpPr>
      <xdr:spPr>
        <a:xfrm flipH="1">
          <a:off x="10410825" y="11649075"/>
          <a:ext cx="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9525</xdr:colOff>
      <xdr:row>67</xdr:row>
      <xdr:rowOff>104775</xdr:rowOff>
    </xdr:from>
    <xdr:to>
      <xdr:col>22</xdr:col>
      <xdr:colOff>9526</xdr:colOff>
      <xdr:row>67</xdr:row>
      <xdr:rowOff>104775</xdr:rowOff>
    </xdr:to>
    <xdr:cxnSp macro="">
      <xdr:nvCxnSpPr>
        <xdr:cNvPr id="7" name="Straight Arrow Connector 6"/>
        <xdr:cNvCxnSpPr/>
      </xdr:nvCxnSpPr>
      <xdr:spPr>
        <a:xfrm flipH="1">
          <a:off x="10410825" y="11972925"/>
          <a:ext cx="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502227</xdr:colOff>
      <xdr:row>18</xdr:row>
      <xdr:rowOff>2039075</xdr:rowOff>
    </xdr:from>
    <xdr:to>
      <xdr:col>14</xdr:col>
      <xdr:colOff>332065</xdr:colOff>
      <xdr:row>56</xdr:row>
      <xdr:rowOff>123537</xdr:rowOff>
    </xdr:to>
    <xdr:pic>
      <xdr:nvPicPr>
        <xdr:cNvPr id="12" name="Picture 11"/>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31"/>
        <a:stretch/>
      </xdr:blipFill>
      <xdr:spPr bwMode="auto">
        <a:xfrm>
          <a:off x="4814454" y="15045030"/>
          <a:ext cx="4678929" cy="5667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86591</xdr:colOff>
      <xdr:row>18</xdr:row>
      <xdr:rowOff>2078182</xdr:rowOff>
    </xdr:from>
    <xdr:to>
      <xdr:col>7</xdr:col>
      <xdr:colOff>465876</xdr:colOff>
      <xdr:row>56</xdr:row>
      <xdr:rowOff>123537</xdr:rowOff>
    </xdr:to>
    <xdr:pic>
      <xdr:nvPicPr>
        <xdr:cNvPr id="14" name="Picture 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591" y="15084137"/>
          <a:ext cx="4691512" cy="5628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276225</xdr:colOff>
      <xdr:row>66</xdr:row>
      <xdr:rowOff>38100</xdr:rowOff>
    </xdr:to>
    <xdr:pic>
      <xdr:nvPicPr>
        <xdr:cNvPr id="7"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563225" cy="946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276225</xdr:colOff>
      <xdr:row>66</xdr:row>
      <xdr:rowOff>38100</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563225" cy="946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161925</xdr:colOff>
      <xdr:row>96</xdr:row>
      <xdr:rowOff>104775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48925" cy="13820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B81"/>
  <sheetViews>
    <sheetView showGridLines="0" showRowColHeaders="0" tabSelected="1" zoomScaleNormal="100" zoomScaleSheetLayoutView="112" workbookViewId="0">
      <selection activeCell="C3" sqref="C3:H3"/>
    </sheetView>
  </sheetViews>
  <sheetFormatPr defaultRowHeight="11.25" outlineLevelRow="1" outlineLevelCol="1"/>
  <cols>
    <col min="1" max="1" width="46.125" customWidth="1"/>
    <col min="2" max="2" width="0.75" customWidth="1"/>
    <col min="3" max="3" width="13.125" customWidth="1"/>
    <col min="4" max="4" width="13.25" customWidth="1"/>
    <col min="5" max="5" width="11.25" customWidth="1"/>
    <col min="6" max="13" width="6.75" customWidth="1"/>
    <col min="14" max="14" width="6.75" hidden="1" customWidth="1" outlineLevel="1"/>
    <col min="15" max="26" width="9" hidden="1" customWidth="1" outlineLevel="1"/>
    <col min="27" max="27" width="9" collapsed="1"/>
  </cols>
  <sheetData>
    <row r="1" spans="1:28" ht="15.75" customHeight="1">
      <c r="A1" s="74" t="s">
        <v>35</v>
      </c>
      <c r="M1" s="75" t="s">
        <v>551</v>
      </c>
    </row>
    <row r="2" spans="1:28" ht="45.75">
      <c r="A2" s="127" t="s">
        <v>548</v>
      </c>
      <c r="B2" s="128"/>
      <c r="C2" s="128"/>
      <c r="D2" s="128"/>
      <c r="E2" s="128"/>
      <c r="F2" s="128"/>
      <c r="G2" s="128"/>
      <c r="H2" s="128"/>
      <c r="I2" s="128"/>
      <c r="J2" s="128"/>
      <c r="K2" s="128"/>
      <c r="L2" s="128"/>
      <c r="M2" s="128"/>
    </row>
    <row r="3" spans="1:28" ht="18" customHeight="1">
      <c r="A3" s="131" t="s">
        <v>214</v>
      </c>
      <c r="B3" s="137" t="s">
        <v>190</v>
      </c>
      <c r="C3" s="138"/>
      <c r="D3" s="139"/>
      <c r="E3" s="139"/>
      <c r="F3" s="139"/>
      <c r="G3" s="139"/>
      <c r="H3" s="140"/>
      <c r="I3" s="131" t="s">
        <v>191</v>
      </c>
      <c r="J3" s="132"/>
      <c r="K3" s="137"/>
      <c r="L3" s="141"/>
      <c r="M3" s="142"/>
    </row>
    <row r="4" spans="1:28" ht="18" customHeight="1">
      <c r="A4" s="131" t="s">
        <v>189</v>
      </c>
      <c r="B4" s="137"/>
      <c r="C4" s="138"/>
      <c r="D4" s="139"/>
      <c r="E4" s="139"/>
      <c r="F4" s="139"/>
      <c r="G4" s="139"/>
      <c r="H4" s="140"/>
      <c r="I4" s="131" t="s">
        <v>215</v>
      </c>
      <c r="J4" s="132"/>
      <c r="K4" s="137"/>
      <c r="L4" s="141"/>
      <c r="M4" s="142"/>
    </row>
    <row r="6" spans="1:28" ht="18">
      <c r="A6" s="131" t="s">
        <v>19</v>
      </c>
      <c r="B6" s="132"/>
      <c r="C6" s="11"/>
      <c r="D6" s="11"/>
      <c r="E6" s="11"/>
      <c r="F6" s="11"/>
      <c r="G6" s="11"/>
      <c r="H6" s="11"/>
      <c r="I6" s="11"/>
      <c r="J6" s="11"/>
      <c r="K6" s="11"/>
      <c r="L6" s="11"/>
      <c r="M6" s="12"/>
    </row>
    <row r="7" spans="1:28" s="25" customFormat="1" ht="11.25" customHeight="1">
      <c r="A7" s="24"/>
      <c r="B7" s="16"/>
      <c r="C7" s="16"/>
      <c r="D7" s="16"/>
      <c r="E7" s="16"/>
      <c r="F7" s="16"/>
      <c r="G7" s="16"/>
      <c r="H7" s="16"/>
      <c r="I7" s="16"/>
      <c r="J7" s="16"/>
      <c r="K7" s="16"/>
      <c r="L7" s="16"/>
      <c r="M7" s="16"/>
      <c r="AB7" s="129"/>
    </row>
    <row r="8" spans="1:28" s="25" customFormat="1" ht="18">
      <c r="A8" s="133" t="s">
        <v>7</v>
      </c>
      <c r="B8" s="134"/>
      <c r="C8" s="10"/>
      <c r="D8" s="17" t="s">
        <v>36</v>
      </c>
      <c r="E8" s="17"/>
      <c r="F8" s="17"/>
      <c r="G8" s="17"/>
      <c r="H8" s="17"/>
      <c r="I8" s="17"/>
      <c r="J8" s="17"/>
      <c r="K8" s="32">
        <f>VLOOKUP(A8,Tidsrum!B7:C12,2,FALSE)</f>
        <v>0.5</v>
      </c>
      <c r="L8" s="17" t="str">
        <f>IF(K8&lt;=1,"time","timer")</f>
        <v>time</v>
      </c>
      <c r="M8" s="12"/>
    </row>
    <row r="9" spans="1:28" s="25" customFormat="1" ht="11.25" customHeight="1">
      <c r="A9" s="24"/>
      <c r="B9" s="16"/>
      <c r="C9" s="16"/>
      <c r="D9" s="16"/>
      <c r="E9" s="16"/>
    </row>
    <row r="10" spans="1:28" s="25" customFormat="1" ht="18" customHeight="1">
      <c r="A10" s="10" t="s">
        <v>199</v>
      </c>
      <c r="B10" s="11"/>
      <c r="C10" s="11"/>
      <c r="D10" s="11"/>
      <c r="E10" s="12"/>
      <c r="F10" s="135" t="s">
        <v>338</v>
      </c>
      <c r="G10" s="136"/>
      <c r="H10" s="135" t="s">
        <v>339</v>
      </c>
      <c r="I10" s="136"/>
      <c r="J10" s="135" t="s">
        <v>340</v>
      </c>
      <c r="K10" s="136"/>
      <c r="L10" s="135" t="s">
        <v>379</v>
      </c>
      <c r="M10" s="136"/>
    </row>
    <row r="11" spans="1:28" s="25" customFormat="1" ht="11.25" customHeight="1">
      <c r="A11" s="24"/>
      <c r="B11" s="16"/>
      <c r="C11" s="16"/>
      <c r="D11" s="16"/>
      <c r="E11" s="16"/>
      <c r="F11" s="31"/>
      <c r="G11" s="31"/>
      <c r="H11" s="31"/>
      <c r="I11" s="31"/>
      <c r="J11" s="31"/>
      <c r="K11" s="31"/>
      <c r="L11" s="31"/>
      <c r="M11" s="31"/>
      <c r="N11" s="16"/>
    </row>
    <row r="12" spans="1:28" ht="18">
      <c r="A12" s="131" t="s">
        <v>39</v>
      </c>
      <c r="B12" s="143"/>
      <c r="C12" s="143"/>
      <c r="D12" s="143"/>
      <c r="E12" s="143"/>
      <c r="F12" s="143"/>
      <c r="G12" s="143"/>
      <c r="H12" s="143"/>
      <c r="I12" s="143"/>
      <c r="J12" s="143"/>
      <c r="K12" s="143"/>
      <c r="L12" s="143"/>
      <c r="M12" s="144"/>
    </row>
    <row r="13" spans="1:28" s="26" customFormat="1" ht="14.25">
      <c r="A13" s="68" t="s">
        <v>49</v>
      </c>
      <c r="B13" s="69"/>
      <c r="C13" s="69"/>
      <c r="D13" s="69"/>
      <c r="E13" s="70"/>
      <c r="F13" s="145"/>
      <c r="G13" s="146"/>
      <c r="H13" s="145"/>
      <c r="I13" s="146"/>
      <c r="J13" s="145"/>
      <c r="K13" s="146"/>
      <c r="L13" s="146"/>
      <c r="M13" s="147"/>
      <c r="O13" s="148" t="s">
        <v>38</v>
      </c>
      <c r="P13" s="149"/>
      <c r="Q13" s="149"/>
      <c r="R13" s="149"/>
      <c r="S13" s="149"/>
      <c r="T13" s="150"/>
    </row>
    <row r="14" spans="1:28" s="26" customFormat="1" ht="14.25">
      <c r="A14" s="68" t="s">
        <v>51</v>
      </c>
      <c r="B14" s="69"/>
      <c r="C14" s="69"/>
      <c r="D14" s="69"/>
      <c r="E14" s="70"/>
      <c r="F14" s="145"/>
      <c r="G14" s="146"/>
      <c r="H14" s="146"/>
      <c r="I14" s="146"/>
      <c r="J14" s="146"/>
      <c r="K14" s="146"/>
      <c r="L14" s="146"/>
      <c r="M14" s="147"/>
      <c r="O14" s="151"/>
      <c r="P14" s="152"/>
      <c r="Q14" s="152"/>
      <c r="R14" s="152"/>
      <c r="S14" s="152"/>
      <c r="T14" s="153"/>
    </row>
    <row r="15" spans="1:28" s="30" customFormat="1" ht="11.25" customHeight="1">
      <c r="O15" s="48" t="s">
        <v>46</v>
      </c>
      <c r="P15" s="49"/>
      <c r="Q15" s="33" t="e">
        <f>10*LOG(F17)</f>
        <v>#NUM!</v>
      </c>
      <c r="R15" s="34" t="e">
        <f>10*LOG(H17)</f>
        <v>#NUM!</v>
      </c>
      <c r="S15" s="34" t="e">
        <f>10*LOG(J17)</f>
        <v>#NUM!</v>
      </c>
      <c r="T15" s="35" t="e">
        <f>10*LOG(L17)</f>
        <v>#NUM!</v>
      </c>
      <c r="V15" s="42" t="s">
        <v>43</v>
      </c>
      <c r="W15" s="43"/>
      <c r="X15" s="43"/>
      <c r="Y15" s="43"/>
      <c r="Z15" s="44"/>
    </row>
    <row r="16" spans="1:28" ht="18">
      <c r="A16" s="154" t="s">
        <v>40</v>
      </c>
      <c r="B16" s="143"/>
      <c r="C16" s="143"/>
      <c r="D16" s="143"/>
      <c r="E16" s="143"/>
      <c r="F16" s="143"/>
      <c r="G16" s="143"/>
      <c r="H16" s="143"/>
      <c r="I16" s="143"/>
      <c r="J16" s="143"/>
      <c r="K16" s="143"/>
      <c r="L16" s="143"/>
      <c r="M16" s="144"/>
      <c r="O16" s="46" t="s">
        <v>45</v>
      </c>
      <c r="P16" s="47"/>
      <c r="Q16" s="46">
        <f>IF(F18/(K8*60)&gt;1,K8*60,F18)</f>
        <v>0</v>
      </c>
      <c r="R16" s="45">
        <f>IF(H18/(K8*60)&gt;1,K8*60,H18)</f>
        <v>0</v>
      </c>
      <c r="S16" s="45">
        <f>IF(J18/(K8*60)&gt;1,K8*60,J18)</f>
        <v>0</v>
      </c>
      <c r="T16" s="47">
        <f>IF(L18/(K8*60)&gt;1,K8*60,L18)</f>
        <v>0</v>
      </c>
      <c r="V16" s="33" t="s">
        <v>0</v>
      </c>
      <c r="W16" s="34" t="b">
        <f>OR(ISBLANK(F13),ISBLANK(F17),ISBLANK(F18))</f>
        <v>1</v>
      </c>
      <c r="X16" s="34" t="b">
        <f>OR(ISBLANK(H13),ISBLANK(H17),ISBLANK(H18))</f>
        <v>1</v>
      </c>
      <c r="Y16" s="34" t="b">
        <f>OR(ISBLANK(J13),ISBLANK(J17),ISBLANK(J18))</f>
        <v>1</v>
      </c>
      <c r="Z16" s="35" t="b">
        <f>OR(ISBLANK(J13),ISBLANK(J17),ISBLANK(J18))</f>
        <v>1</v>
      </c>
    </row>
    <row r="17" spans="1:26" s="26" customFormat="1" ht="14.25" customHeight="1">
      <c r="A17" s="68" t="s">
        <v>50</v>
      </c>
      <c r="B17" s="69"/>
      <c r="C17" s="69"/>
      <c r="D17" s="69">
        <f>K8</f>
        <v>0.5</v>
      </c>
      <c r="E17" s="70" t="str">
        <f>L8</f>
        <v>time</v>
      </c>
      <c r="F17" s="145"/>
      <c r="G17" s="146"/>
      <c r="H17" s="146"/>
      <c r="I17" s="146"/>
      <c r="J17" s="146"/>
      <c r="K17" s="146"/>
      <c r="L17" s="146"/>
      <c r="M17" s="147"/>
      <c r="O17" s="46" t="s">
        <v>47</v>
      </c>
      <c r="P17" s="47"/>
      <c r="Q17" s="46" t="e">
        <f>10*LOG(Q16/($K$8*60))</f>
        <v>#NUM!</v>
      </c>
      <c r="R17" s="45" t="e">
        <f>10*LOG(R16/($K$8*60))</f>
        <v>#NUM!</v>
      </c>
      <c r="S17" s="45" t="e">
        <f>10*LOG(S16/($K$8*60))</f>
        <v>#NUM!</v>
      </c>
      <c r="T17" s="47" t="e">
        <f>10*LOG(T16/($K$8*60))</f>
        <v>#NUM!</v>
      </c>
      <c r="V17" s="36" t="s">
        <v>44</v>
      </c>
      <c r="W17" s="37" t="b">
        <f>OR(ISBLANK(F14),ISBLANK(F17),ISBLANK(F18))</f>
        <v>1</v>
      </c>
      <c r="X17" s="37" t="b">
        <f>OR(ISBLANK(H14),ISBLANK(H17),ISBLANK(H18))</f>
        <v>1</v>
      </c>
      <c r="Y17" s="37" t="b">
        <f>OR(ISBLANK(J14),ISBLANK(J17),ISBLANK(J18))</f>
        <v>1</v>
      </c>
      <c r="Z17" s="38" t="b">
        <f>OR(ISBLANK(J14),ISBLANK(J17),ISBLANK(J18))</f>
        <v>1</v>
      </c>
    </row>
    <row r="18" spans="1:26" s="26" customFormat="1" ht="14.25" customHeight="1">
      <c r="A18" s="68" t="s">
        <v>20</v>
      </c>
      <c r="B18" s="69"/>
      <c r="C18" s="69"/>
      <c r="D18" s="69"/>
      <c r="E18" s="70"/>
      <c r="F18" s="145"/>
      <c r="G18" s="146"/>
      <c r="H18" s="146"/>
      <c r="I18" s="146"/>
      <c r="J18" s="146"/>
      <c r="K18" s="146"/>
      <c r="L18" s="146"/>
      <c r="M18" s="147"/>
      <c r="O18" s="46" t="s">
        <v>54</v>
      </c>
      <c r="P18" s="47"/>
      <c r="Q18" s="46">
        <v>3</v>
      </c>
      <c r="R18" s="45">
        <v>3</v>
      </c>
      <c r="S18" s="45">
        <v>3</v>
      </c>
      <c r="T18" s="47">
        <v>3</v>
      </c>
    </row>
    <row r="19" spans="1:26" s="30" customFormat="1" ht="11.25" customHeight="1">
      <c r="A19" s="27"/>
      <c r="B19" s="28"/>
      <c r="C19" s="28"/>
      <c r="D19" s="28"/>
      <c r="E19" s="28"/>
      <c r="F19" s="29"/>
      <c r="G19" s="29"/>
      <c r="H19" s="29"/>
      <c r="I19" s="29"/>
      <c r="J19" s="29"/>
      <c r="K19" s="29"/>
      <c r="L19" s="29"/>
      <c r="O19" s="36" t="s">
        <v>48</v>
      </c>
      <c r="P19" s="38"/>
      <c r="Q19" s="39" t="e">
        <f>Q15+Q17+Q18</f>
        <v>#NUM!</v>
      </c>
      <c r="R19" s="39" t="e">
        <f>R15+R17+R18</f>
        <v>#NUM!</v>
      </c>
      <c r="S19" s="39" t="e">
        <f>S15+S17+S18</f>
        <v>#NUM!</v>
      </c>
      <c r="T19" s="66" t="e">
        <f>T15+T17+T18</f>
        <v>#NUM!</v>
      </c>
    </row>
    <row r="20" spans="1:26" ht="18">
      <c r="A20" s="154" t="s">
        <v>41</v>
      </c>
      <c r="B20" s="143"/>
      <c r="C20" s="143"/>
      <c r="D20" s="143"/>
      <c r="E20" s="143"/>
      <c r="F20" s="143"/>
      <c r="G20" s="143"/>
      <c r="H20" s="143"/>
      <c r="I20" s="143"/>
      <c r="J20" s="143"/>
      <c r="K20" s="143"/>
      <c r="L20" s="143"/>
      <c r="M20" s="144"/>
    </row>
    <row r="21" spans="1:26" ht="34.5">
      <c r="A21" s="13" t="s">
        <v>13</v>
      </c>
      <c r="B21" s="14"/>
      <c r="C21" s="73" t="s">
        <v>14</v>
      </c>
      <c r="D21" s="15" t="s">
        <v>17</v>
      </c>
      <c r="E21" s="5"/>
      <c r="F21" s="155" t="s">
        <v>18</v>
      </c>
      <c r="G21" s="156"/>
      <c r="H21" s="156"/>
      <c r="I21" s="156"/>
      <c r="J21" s="156"/>
      <c r="K21" s="156"/>
      <c r="L21" s="156"/>
      <c r="M21" s="157"/>
      <c r="O21" s="158" t="s">
        <v>26</v>
      </c>
      <c r="P21" s="159"/>
      <c r="Q21" s="159"/>
      <c r="R21" s="159"/>
      <c r="S21" s="158" t="s">
        <v>27</v>
      </c>
      <c r="T21" s="159"/>
      <c r="U21" s="159"/>
      <c r="V21" s="160"/>
      <c r="W21" s="50"/>
      <c r="X21" s="51"/>
      <c r="Y21" s="51"/>
      <c r="Z21" s="52"/>
    </row>
    <row r="22" spans="1:26" ht="12">
      <c r="A22" s="125" t="s">
        <v>185</v>
      </c>
      <c r="B22" s="60"/>
      <c r="C22" s="71">
        <f>IFERROR(VLOOKUP($A22,'Katalog-køretøjer'!$B$7:$D$14,2,FALSE),"")</f>
        <v>0</v>
      </c>
      <c r="D22" s="71">
        <f>IFERROR(VLOOKUP($A22,'Katalog-køretøjer'!$B$7:$D$14,3,FALSE),"")</f>
        <v>0</v>
      </c>
      <c r="E22" s="1"/>
      <c r="F22" s="161"/>
      <c r="G22" s="162"/>
      <c r="H22" s="162"/>
      <c r="I22" s="162"/>
      <c r="J22" s="162"/>
      <c r="K22" s="162"/>
      <c r="L22" s="162"/>
      <c r="M22" s="163"/>
      <c r="O22" s="85">
        <f>IF(W$16=FALSE,(IF(ISBLANK(F22),-99,$C22-10*LOG(4*PI()*F$13^2)+3+10*LOG((60/(3600*$K$8)))+10*LOG(F$17))),-99)</f>
        <v>-99</v>
      </c>
      <c r="P22" s="86">
        <f>IF(X$16=FALSE,(IF(ISBLANK(H22),-99,$C22-10*LOG(4*PI()*H$13^2)+3+10*LOG((60/(3600*$K$8)))+10*LOG(H$17))),-99)</f>
        <v>-99</v>
      </c>
      <c r="Q22" s="86">
        <f>IF(Y$16=FALSE,(IF(ISBLANK(J22),-99,$C22-10*LOG(4*PI()*J$13^2)+3+10*LOG((60/(3600*$K$8)))+10*LOG(J$17))),-99)</f>
        <v>-99</v>
      </c>
      <c r="R22" s="86">
        <f>IF(Z$16=FALSE,(IF(ISBLANK(L22),-99,$C22-10*LOG(4*PI()*L$13^2)+3+10*LOG((60/(3600*$K$8)))+10*LOG(L$17))),-99)</f>
        <v>-99</v>
      </c>
      <c r="S22" s="87">
        <f>IF($W$16=FALSE,(IF(ISBLANK(F22),-99,$D22-10*LOG(4*PI()*F$13^2)+3+3)),-99)</f>
        <v>-99</v>
      </c>
      <c r="T22" s="88">
        <f>IF($X$16=FALSE,(IF(ISBLANK(H22),-99,$D22-10*LOG(4*PI()*H$13^2)+3+3)),-99)</f>
        <v>-99</v>
      </c>
      <c r="U22" s="88">
        <f>IF($Y$16=FALSE,(IF(ISBLANK(J22),-99,$D22-10*LOG(4*PI()*J$13^2)+3+3)),-99)</f>
        <v>-99</v>
      </c>
      <c r="V22" s="89">
        <f>IF($Z$16=FALSE,(IF(ISBLANK(L22),-99,$D22-10*LOG(4*PI()*L$13^2)+3+3)),-99)</f>
        <v>-99</v>
      </c>
      <c r="W22" s="6">
        <f>10^(O22/10)</f>
        <v>1.2589254117941656E-10</v>
      </c>
      <c r="X22" s="4">
        <f t="shared" ref="W22:Z26" si="0">10^(P22/10)</f>
        <v>1.2589254117941656E-10</v>
      </c>
      <c r="Y22" s="4">
        <f t="shared" si="0"/>
        <v>1.2589254117941656E-10</v>
      </c>
      <c r="Z22" s="7">
        <f t="shared" si="0"/>
        <v>1.2589254117941656E-10</v>
      </c>
    </row>
    <row r="23" spans="1:26" ht="12">
      <c r="A23" s="125" t="s">
        <v>185</v>
      </c>
      <c r="B23" s="60"/>
      <c r="C23" s="71">
        <f>IFERROR(VLOOKUP($A23,'Katalog-køretøjer'!$B$7:$D$14,2,FALSE),"")</f>
        <v>0</v>
      </c>
      <c r="D23" s="71">
        <f>IFERROR(VLOOKUP($A23,'Katalog-køretøjer'!$B$7:$D$14,3,FALSE),"")</f>
        <v>0</v>
      </c>
      <c r="E23" s="1"/>
      <c r="F23" s="161"/>
      <c r="G23" s="162"/>
      <c r="H23" s="162"/>
      <c r="I23" s="162"/>
      <c r="J23" s="162"/>
      <c r="K23" s="162"/>
      <c r="L23" s="162"/>
      <c r="M23" s="163"/>
      <c r="O23" s="85">
        <f>IF(W$16=FALSE,(IF(ISBLANK(F23),-99,$C23-10*LOG(4*PI()*F$13^2)+3+10*LOG((60/(3600*$K$8)))+10*LOG(F$17))),-99)</f>
        <v>-99</v>
      </c>
      <c r="P23" s="86">
        <f t="shared" ref="P23:P26" si="1">IF(X$16=FALSE,(IF(ISBLANK(H23),-99,$C23-10*LOG(4*PI()*H$13^2)+3+10*LOG((60/(3600*$K$8)))+10*LOG(H$17))),-99)</f>
        <v>-99</v>
      </c>
      <c r="Q23" s="86">
        <f t="shared" ref="Q23:Q26" si="2">IF(Y$16=FALSE,(IF(ISBLANK(J23),-99,$C23-10*LOG(4*PI()*J$13^2)+3+10*LOG((60/(3600*$K$8)))+10*LOG(J$17))),-99)</f>
        <v>-99</v>
      </c>
      <c r="R23" s="86">
        <f t="shared" ref="R23:R26" si="3">IF(Z$16=FALSE,(IF(ISBLANK(L23),-99,$C23-10*LOG(4*PI()*L$13^2)+3+10*LOG((60/(3600*$K$8)))+10*LOG(L$17))),-99)</f>
        <v>-99</v>
      </c>
      <c r="S23" s="87">
        <f>IF($W$16=FALSE,(IF(ISBLANK(F23),-99,$D23-10*LOG(4*PI()*F$13^2)+3+3)),-99)</f>
        <v>-99</v>
      </c>
      <c r="T23" s="88">
        <f>IF($X$16=FALSE,(IF(ISBLANK(H23),-99,$D23-10*LOG(4*PI()*H$13^2)+3+3)),-99)</f>
        <v>-99</v>
      </c>
      <c r="U23" s="88">
        <f>IF($Y$16=FALSE,(IF(ISBLANK(J23),-99,$D23-10*LOG(4*PI()*J$13^2)+3+3)),-99)</f>
        <v>-99</v>
      </c>
      <c r="V23" s="89">
        <f>IF($Z$16=FALSE,(IF(ISBLANK(L23),-99,$D23-10*LOG(4*PI()*L$13^2)+3+3)),-99)</f>
        <v>-99</v>
      </c>
      <c r="W23" s="6">
        <f t="shared" si="0"/>
        <v>1.2589254117941656E-10</v>
      </c>
      <c r="X23" s="4">
        <f t="shared" si="0"/>
        <v>1.2589254117941656E-10</v>
      </c>
      <c r="Y23" s="4">
        <f t="shared" si="0"/>
        <v>1.2589254117941656E-10</v>
      </c>
      <c r="Z23" s="7">
        <f t="shared" si="0"/>
        <v>1.2589254117941656E-10</v>
      </c>
    </row>
    <row r="24" spans="1:26" ht="12">
      <c r="A24" s="125" t="s">
        <v>185</v>
      </c>
      <c r="B24" s="60"/>
      <c r="C24" s="71">
        <f>IFERROR(VLOOKUP($A24,'Katalog-køretøjer'!$B$7:$D$14,2,FALSE),"")</f>
        <v>0</v>
      </c>
      <c r="D24" s="71">
        <f>IFERROR(VLOOKUP($A24,'Katalog-køretøjer'!$B$7:$D$14,3,FALSE),"")</f>
        <v>0</v>
      </c>
      <c r="E24" s="1"/>
      <c r="F24" s="161"/>
      <c r="G24" s="162"/>
      <c r="H24" s="162"/>
      <c r="I24" s="162"/>
      <c r="J24" s="162"/>
      <c r="K24" s="162"/>
      <c r="L24" s="162"/>
      <c r="M24" s="163"/>
      <c r="O24" s="85">
        <f t="shared" ref="O24:O26" si="4">IF(W$16=FALSE,(IF(ISBLANK(F24),-99,$C24-10*LOG(4*PI()*F$13^2)+3+10*LOG((60/(3600*$K$8)))+10*LOG(F$17))),-99)</f>
        <v>-99</v>
      </c>
      <c r="P24" s="86">
        <f t="shared" si="1"/>
        <v>-99</v>
      </c>
      <c r="Q24" s="86">
        <f t="shared" si="2"/>
        <v>-99</v>
      </c>
      <c r="R24" s="86">
        <f t="shared" si="3"/>
        <v>-99</v>
      </c>
      <c r="S24" s="87">
        <f>IF($W$16=FALSE,(IF(ISBLANK(F24),-99,$D24-10*LOG(4*PI()*F$13^2)+3+3)),-99)</f>
        <v>-99</v>
      </c>
      <c r="T24" s="88">
        <f>IF($X$16=FALSE,(IF(ISBLANK(H24),-99,$D24-10*LOG(4*PI()*H$13^2)+3+3)),-99)</f>
        <v>-99</v>
      </c>
      <c r="U24" s="88">
        <f>IF($Y$16=FALSE,(IF(ISBLANK(J24),-99,$D24-10*LOG(4*PI()*J$13^2)+3+3)),-99)</f>
        <v>-99</v>
      </c>
      <c r="V24" s="89">
        <f>IF($Z$16=FALSE,(IF(ISBLANK(L24),-99,$D24-10*LOG(4*PI()*L$13^2)+3+3)),-99)</f>
        <v>-99</v>
      </c>
      <c r="W24" s="6">
        <f t="shared" si="0"/>
        <v>1.2589254117941656E-10</v>
      </c>
      <c r="X24" s="4">
        <f t="shared" si="0"/>
        <v>1.2589254117941656E-10</v>
      </c>
      <c r="Y24" s="4">
        <f t="shared" si="0"/>
        <v>1.2589254117941656E-10</v>
      </c>
      <c r="Z24" s="7">
        <f t="shared" si="0"/>
        <v>1.2589254117941656E-10</v>
      </c>
    </row>
    <row r="25" spans="1:26" ht="12">
      <c r="A25" s="125" t="s">
        <v>185</v>
      </c>
      <c r="B25" s="60"/>
      <c r="C25" s="71">
        <f>IFERROR(VLOOKUP($A25,'Katalog-køretøjer'!$B$7:$D$14,2,FALSE),"")</f>
        <v>0</v>
      </c>
      <c r="D25" s="71">
        <f>IFERROR(VLOOKUP($A25,'Katalog-køretøjer'!$B$7:$D$14,3,FALSE),"")</f>
        <v>0</v>
      </c>
      <c r="E25" s="1"/>
      <c r="F25" s="161"/>
      <c r="G25" s="162"/>
      <c r="H25" s="162"/>
      <c r="I25" s="162"/>
      <c r="J25" s="162"/>
      <c r="K25" s="162"/>
      <c r="L25" s="162"/>
      <c r="M25" s="163"/>
      <c r="O25" s="85">
        <f t="shared" si="4"/>
        <v>-99</v>
      </c>
      <c r="P25" s="86">
        <f t="shared" si="1"/>
        <v>-99</v>
      </c>
      <c r="Q25" s="86">
        <f t="shared" si="2"/>
        <v>-99</v>
      </c>
      <c r="R25" s="86">
        <f t="shared" si="3"/>
        <v>-99</v>
      </c>
      <c r="S25" s="87">
        <f>IF($W$16=FALSE,(IF(ISBLANK(F25),-99,$D25-10*LOG(4*PI()*F$13^2)+3+3)),-99)</f>
        <v>-99</v>
      </c>
      <c r="T25" s="88">
        <f>IF($X$16=FALSE,(IF(ISBLANK(H25),-99,$D25-10*LOG(4*PI()*H$13^2)+3+3)),-99)</f>
        <v>-99</v>
      </c>
      <c r="U25" s="88">
        <f>IF($Y$16=FALSE,(IF(ISBLANK(J25),-99,$D25-10*LOG(4*PI()*J$13^2)+3+3)),-99)</f>
        <v>-99</v>
      </c>
      <c r="V25" s="89">
        <f>IF($Z$16=FALSE,(IF(ISBLANK(L25),-99,$D25-10*LOG(4*PI()*L$13^2)+3+3)),-99)</f>
        <v>-99</v>
      </c>
      <c r="W25" s="6">
        <f t="shared" si="0"/>
        <v>1.2589254117941656E-10</v>
      </c>
      <c r="X25" s="4">
        <f t="shared" si="0"/>
        <v>1.2589254117941656E-10</v>
      </c>
      <c r="Y25" s="4">
        <f t="shared" si="0"/>
        <v>1.2589254117941656E-10</v>
      </c>
      <c r="Z25" s="7">
        <f t="shared" si="0"/>
        <v>1.2589254117941656E-10</v>
      </c>
    </row>
    <row r="26" spans="1:26" ht="12">
      <c r="A26" s="125" t="s">
        <v>185</v>
      </c>
      <c r="B26" s="60"/>
      <c r="C26" s="71">
        <f>IFERROR(VLOOKUP($A26,'Katalog-køretøjer'!$B$7:$D$14,2,FALSE),"")</f>
        <v>0</v>
      </c>
      <c r="D26" s="71">
        <f>IFERROR(VLOOKUP($A26,'Katalog-køretøjer'!$B$7:$D$14,3,FALSE),"")</f>
        <v>0</v>
      </c>
      <c r="E26" s="1"/>
      <c r="F26" s="161"/>
      <c r="G26" s="162"/>
      <c r="H26" s="162"/>
      <c r="I26" s="162"/>
      <c r="J26" s="162"/>
      <c r="K26" s="162"/>
      <c r="L26" s="162"/>
      <c r="M26" s="163"/>
      <c r="O26" s="85">
        <f t="shared" si="4"/>
        <v>-99</v>
      </c>
      <c r="P26" s="86">
        <f t="shared" si="1"/>
        <v>-99</v>
      </c>
      <c r="Q26" s="86">
        <f t="shared" si="2"/>
        <v>-99</v>
      </c>
      <c r="R26" s="86">
        <f t="shared" si="3"/>
        <v>-99</v>
      </c>
      <c r="S26" s="87">
        <f>IF($W$16=FALSE,(IF(ISBLANK(F26),-99,$D26-10*LOG(4*PI()*F$13^2)+3+3)),-99)</f>
        <v>-99</v>
      </c>
      <c r="T26" s="88">
        <f>IF($X$16=FALSE,(IF(ISBLANK(H26),-99,$D26-10*LOG(4*PI()*H$13^2)+3+3)),-99)</f>
        <v>-99</v>
      </c>
      <c r="U26" s="88">
        <f>IF($Y$16=FALSE,(IF(ISBLANK(J26),-99,$D26-10*LOG(4*PI()*J$13^2)+3+3)),-99)</f>
        <v>-99</v>
      </c>
      <c r="V26" s="89">
        <f>IF($Z$16=FALSE,(IF(ISBLANK(L26),-99,$D26-10*LOG(4*PI()*L$13^2)+3+3)),-99)</f>
        <v>-99</v>
      </c>
      <c r="W26" s="8">
        <f t="shared" si="0"/>
        <v>1.2589254117941656E-10</v>
      </c>
      <c r="X26" s="18">
        <f t="shared" si="0"/>
        <v>1.2589254117941656E-10</v>
      </c>
      <c r="Y26" s="18">
        <f t="shared" si="0"/>
        <v>1.2589254117941656E-10</v>
      </c>
      <c r="Z26" s="9">
        <f t="shared" si="0"/>
        <v>1.2589254117941656E-10</v>
      </c>
    </row>
    <row r="27" spans="1:26">
      <c r="C27" s="1"/>
      <c r="D27" s="1"/>
      <c r="E27" s="1"/>
      <c r="F27" s="1"/>
      <c r="G27" s="1"/>
      <c r="H27" s="1"/>
      <c r="I27" s="1"/>
      <c r="J27" s="1"/>
      <c r="K27" s="1"/>
      <c r="L27" s="1"/>
      <c r="M27" s="1"/>
    </row>
    <row r="28" spans="1:26" ht="48">
      <c r="A28" s="13" t="s">
        <v>15</v>
      </c>
      <c r="B28" s="14"/>
      <c r="C28" s="73" t="s">
        <v>22</v>
      </c>
      <c r="D28" s="73" t="s">
        <v>21</v>
      </c>
      <c r="E28" s="73" t="s">
        <v>16</v>
      </c>
      <c r="F28" s="155" t="s">
        <v>423</v>
      </c>
      <c r="G28" s="156"/>
      <c r="H28" s="156"/>
      <c r="I28" s="156"/>
      <c r="J28" s="156"/>
      <c r="K28" s="156"/>
      <c r="L28" s="156"/>
      <c r="M28" s="157"/>
      <c r="O28" s="158" t="s">
        <v>26</v>
      </c>
      <c r="P28" s="159"/>
      <c r="Q28" s="159"/>
      <c r="R28" s="160"/>
      <c r="S28" s="158" t="s">
        <v>27</v>
      </c>
      <c r="T28" s="159"/>
      <c r="U28" s="159"/>
      <c r="V28" s="160"/>
      <c r="W28" s="50"/>
      <c r="X28" s="51"/>
      <c r="Y28" s="51"/>
      <c r="Z28" s="52"/>
    </row>
    <row r="29" spans="1:26" ht="12.75">
      <c r="A29" s="167" t="s">
        <v>186</v>
      </c>
      <c r="B29" s="165"/>
      <c r="C29" s="165"/>
      <c r="D29" s="165"/>
      <c r="E29" s="165"/>
      <c r="F29" s="165"/>
      <c r="G29" s="165"/>
      <c r="H29" s="165"/>
      <c r="I29" s="165"/>
      <c r="J29" s="165"/>
      <c r="K29" s="165"/>
      <c r="L29" s="165"/>
      <c r="M29" s="166"/>
      <c r="N29" s="4"/>
      <c r="O29" s="6"/>
      <c r="P29" s="4"/>
      <c r="Q29" s="4"/>
      <c r="R29" s="7"/>
      <c r="S29" s="6"/>
      <c r="T29" s="4"/>
      <c r="U29" s="4"/>
      <c r="V29" s="7"/>
      <c r="W29" s="6"/>
      <c r="X29" s="4"/>
      <c r="Y29" s="4"/>
      <c r="Z29" s="7"/>
    </row>
    <row r="30" spans="1:26" ht="12">
      <c r="A30" s="125" t="s">
        <v>185</v>
      </c>
      <c r="B30" s="60"/>
      <c r="C30" s="97">
        <f>IFERROR(VLOOKUP($A30,'Katalog-samlede leverancer'!$B$6:$F$13,2,FALSE),"")</f>
        <v>0</v>
      </c>
      <c r="D30" s="97">
        <f>IFERROR(VLOOKUP($A30,'Katalog-samlede leverancer'!$B$6:$F$13,3,FALSE),"")</f>
        <v>0</v>
      </c>
      <c r="E30" s="72">
        <f>IFERROR(VLOOKUP($A30,'Katalog-samlede leverancer'!$B$6:$F$13,4,FALSE),"")</f>
        <v>0</v>
      </c>
      <c r="F30" s="53"/>
      <c r="G30" s="54">
        <f>IF(ISBLANK(F30),0,$E30)</f>
        <v>0</v>
      </c>
      <c r="H30" s="55"/>
      <c r="I30" s="54">
        <f>IF(ISBLANK(H30),0,$E30)</f>
        <v>0</v>
      </c>
      <c r="J30" s="55"/>
      <c r="K30" s="56">
        <f>IF(ISBLANK(J30),0,$E30)</f>
        <v>0</v>
      </c>
      <c r="L30" s="55"/>
      <c r="M30" s="56">
        <f>IF(ISBLANK(L30),0,$E30)</f>
        <v>0</v>
      </c>
      <c r="O30" s="6">
        <f>IF($W$17=FALSE,(IF(ISBLANK(F30),-99,$C30-10*LOG(4*PI()*F$14^2)+3+10*LOG(1*G30)+Q$19)),-99)</f>
        <v>-99</v>
      </c>
      <c r="P30" s="4">
        <f>IF($X$17=FALSE,(IF(ISBLANK(H30),-99,$C30-10*LOG(4*PI()*H$14^2)+3+10*LOG(1*I30)+R$19)),-99)</f>
        <v>-99</v>
      </c>
      <c r="Q30" s="4">
        <f>IF($Y$17=FALSE,(IF(ISBLANK(J30),-99,$C30-10*LOG(4*PI()*J$14^2)+3+10*LOG(1*K30)+S$19)),-99)</f>
        <v>-99</v>
      </c>
      <c r="R30" s="7">
        <f>IF($Z$17=FALSE,(IF(ISBLANK(L30),-99,$C30-10*LOG(4*PI()*L$14^2)+3+10*LOG(1*M30)+T$19)),-99)</f>
        <v>-99</v>
      </c>
      <c r="S30" s="6">
        <f>IF($W$17=FALSE,(IF(ISBLANK(F30),-99,$D30-10*LOG(4*PI()*F$14^2)+3+3)),-99)</f>
        <v>-99</v>
      </c>
      <c r="T30" s="4">
        <f>IF($X$17=FALSE,(IF(ISBLANK(H30),-99,$D30-10*LOG(4*PI()*H$14^2)+3+3)),-99)</f>
        <v>-99</v>
      </c>
      <c r="U30" s="4">
        <f>IF($Y$17=FALSE,(IF(ISBLANK(J30),-99,$D30-10*LOG(4*PI()*J$14^2)+3+3)),-99)</f>
        <v>-99</v>
      </c>
      <c r="V30" s="7">
        <f>IF($Z$17=FALSE,(IF(ISBLANK(L30),-99,$D30-10*LOG(4*PI()*L$14^2)+3+3)),-99)</f>
        <v>-99</v>
      </c>
      <c r="W30" s="6">
        <f t="shared" ref="W30:Z32" si="5">10^(O30/10)</f>
        <v>1.2589254117941656E-10</v>
      </c>
      <c r="X30" s="4">
        <f t="shared" si="5"/>
        <v>1.2589254117941656E-10</v>
      </c>
      <c r="Y30" s="4">
        <f t="shared" si="5"/>
        <v>1.2589254117941656E-10</v>
      </c>
      <c r="Z30" s="7">
        <f t="shared" si="5"/>
        <v>1.2589254117941656E-10</v>
      </c>
    </row>
    <row r="31" spans="1:26">
      <c r="A31" s="126" t="s">
        <v>185</v>
      </c>
      <c r="B31" s="60"/>
      <c r="C31" s="97">
        <f>IFERROR(VLOOKUP($A31,'Katalog-samlede leverancer'!$B$6:$F$13,2,FALSE),"")</f>
        <v>0</v>
      </c>
      <c r="D31" s="97">
        <f>IFERROR(VLOOKUP($A31,'Katalog-samlede leverancer'!$B$6:$F$13,3,FALSE),"")</f>
        <v>0</v>
      </c>
      <c r="E31" s="72">
        <f>IFERROR(VLOOKUP($A31,'Katalog-samlede leverancer'!$B$6:$F$13,4,FALSE),"")</f>
        <v>0</v>
      </c>
      <c r="F31" s="53"/>
      <c r="G31" s="54">
        <f t="shared" ref="G31:G32" si="6">IF(ISBLANK(F31),0,$E31)</f>
        <v>0</v>
      </c>
      <c r="H31" s="55"/>
      <c r="I31" s="54">
        <f t="shared" ref="I31:I32" si="7">IF(ISBLANK(H31),0,$E31)</f>
        <v>0</v>
      </c>
      <c r="J31" s="55"/>
      <c r="K31" s="56">
        <f t="shared" ref="K31:K32" si="8">IF(ISBLANK(J31),0,$E31)</f>
        <v>0</v>
      </c>
      <c r="L31" s="55"/>
      <c r="M31" s="56">
        <f t="shared" ref="M31:M32" si="9">IF(ISBLANK(L31),0,$E31)</f>
        <v>0</v>
      </c>
      <c r="O31" s="6">
        <f>IF($W$17=FALSE,(IF(ISBLANK(F31),-99,$C31-10*LOG(4*PI()*F$14^2)+3+10*LOG(1*G31)+Q$19)),-99)</f>
        <v>-99</v>
      </c>
      <c r="P31" s="4">
        <f>IF($X$17=FALSE,(IF(ISBLANK(H31),-99,$C31-10*LOG(4*PI()*H$14^2)+3+10*LOG(1*I31)+R$19)),-99)</f>
        <v>-99</v>
      </c>
      <c r="Q31" s="4">
        <f>IF($Y$17=FALSE,(IF(ISBLANK(J31),-99,$C31-10*LOG(4*PI()*J$14^2)+3+10*LOG(1*K31)+S$19)),-99)</f>
        <v>-99</v>
      </c>
      <c r="R31" s="7">
        <f>IF($Z$17=FALSE,(IF(ISBLANK(L31),-99,$C31-10*LOG(4*PI()*L$14^2)+3+10*LOG(1*M31)+T$19)),-99)</f>
        <v>-99</v>
      </c>
      <c r="S31" s="6">
        <f>IF($W$17=FALSE,(IF(ISBLANK(F31),-99,$D31-10*LOG(4*PI()*F$14^2)+3+3)),-99)</f>
        <v>-99</v>
      </c>
      <c r="T31" s="4">
        <f>IF($X$17=FALSE,(IF(ISBLANK(H31),-99,$D31-10*LOG(4*PI()*H$14^2)+3+3)),-99)</f>
        <v>-99</v>
      </c>
      <c r="U31" s="4">
        <f>IF($Y$17=FALSE,(IF(ISBLANK(J31),-99,$D31-10*LOG(4*PI()*J$14^2)+3+3)),-99)</f>
        <v>-99</v>
      </c>
      <c r="V31" s="7">
        <f>IF($Z$17=FALSE,(IF(ISBLANK(L31),-99,$D31-10*LOG(4*PI()*L$14^2)+3+3)),-99)</f>
        <v>-99</v>
      </c>
      <c r="W31" s="6">
        <f t="shared" si="5"/>
        <v>1.2589254117941656E-10</v>
      </c>
      <c r="X31" s="4">
        <f t="shared" si="5"/>
        <v>1.2589254117941656E-10</v>
      </c>
      <c r="Y31" s="4">
        <f t="shared" si="5"/>
        <v>1.2589254117941656E-10</v>
      </c>
      <c r="Z31" s="7">
        <f t="shared" si="5"/>
        <v>1.2589254117941656E-10</v>
      </c>
    </row>
    <row r="32" spans="1:26">
      <c r="A32" s="126" t="s">
        <v>185</v>
      </c>
      <c r="B32" s="60"/>
      <c r="C32" s="97">
        <f>IFERROR(VLOOKUP($A32,'Katalog-samlede leverancer'!$B$6:$F$13,2,FALSE),"")</f>
        <v>0</v>
      </c>
      <c r="D32" s="97">
        <f>IFERROR(VLOOKUP($A32,'Katalog-samlede leverancer'!$B$6:$F$13,3,FALSE),"")</f>
        <v>0</v>
      </c>
      <c r="E32" s="72">
        <f>IFERROR(VLOOKUP($A32,'Katalog-samlede leverancer'!$B$6:$F$13,4,FALSE),"")</f>
        <v>0</v>
      </c>
      <c r="F32" s="53"/>
      <c r="G32" s="54">
        <f t="shared" si="6"/>
        <v>0</v>
      </c>
      <c r="H32" s="55"/>
      <c r="I32" s="54">
        <f t="shared" si="7"/>
        <v>0</v>
      </c>
      <c r="J32" s="55"/>
      <c r="K32" s="56">
        <f t="shared" si="8"/>
        <v>0</v>
      </c>
      <c r="L32" s="55"/>
      <c r="M32" s="56">
        <f t="shared" si="9"/>
        <v>0</v>
      </c>
      <c r="O32" s="6">
        <f>IF($W$17=FALSE,(IF(ISBLANK(F32),-99,$C32-10*LOG(4*PI()*F$14^2)+3+10*LOG(1*G32)+Q$19)),-99)</f>
        <v>-99</v>
      </c>
      <c r="P32" s="4">
        <f>IF($X$17=FALSE,(IF(ISBLANK(H32),-99,$C32-10*LOG(4*PI()*H$14^2)+3+10*LOG(1*I32)+R$19)),-99)</f>
        <v>-99</v>
      </c>
      <c r="Q32" s="4">
        <f>IF($Y$17=FALSE,(IF(ISBLANK(J32),-99,$C32-10*LOG(4*PI()*J$14^2)+3+10*LOG(1*K32)+S$19)),-99)</f>
        <v>-99</v>
      </c>
      <c r="R32" s="7">
        <f>IF($Z$17=FALSE,(IF(ISBLANK(L32),-99,$C32-10*LOG(4*PI()*L$14^2)+3+10*LOG(1*M32)+T$19)),-99)</f>
        <v>-99</v>
      </c>
      <c r="S32" s="6">
        <f>IF($W$17=FALSE,(IF(ISBLANK(F32),-99,$D32-10*LOG(4*PI()*F$14^2)+3+3)),-99)</f>
        <v>-99</v>
      </c>
      <c r="T32" s="4">
        <f>IF($X$17=FALSE,(IF(ISBLANK(H32),-99,$D32-10*LOG(4*PI()*H$14^2)+3+3)),-99)</f>
        <v>-99</v>
      </c>
      <c r="U32" s="4">
        <f>IF($Y$17=FALSE,(IF(ISBLANK(J32),-99,$D32-10*LOG(4*PI()*J$14^2)+3+3)),-99)</f>
        <v>-99</v>
      </c>
      <c r="V32" s="7">
        <f>IF($Z$17=FALSE,(IF(ISBLANK(L32),-99,$D32-10*LOG(4*PI()*L$14^2)+3+3)),-99)</f>
        <v>-99</v>
      </c>
      <c r="W32" s="6">
        <f t="shared" si="5"/>
        <v>1.2589254117941656E-10</v>
      </c>
      <c r="X32" s="4">
        <f t="shared" si="5"/>
        <v>1.2589254117941656E-10</v>
      </c>
      <c r="Y32" s="4">
        <f t="shared" si="5"/>
        <v>1.2589254117941656E-10</v>
      </c>
      <c r="Z32" s="7">
        <f t="shared" si="5"/>
        <v>1.2589254117941656E-10</v>
      </c>
    </row>
    <row r="33" spans="1:26" ht="12.75" hidden="1" outlineLevel="1">
      <c r="A33" s="168" t="s">
        <v>187</v>
      </c>
      <c r="B33" s="169"/>
      <c r="C33" s="169"/>
      <c r="D33" s="169"/>
      <c r="E33" s="169"/>
      <c r="F33" s="169"/>
      <c r="G33" s="169"/>
      <c r="H33" s="169"/>
      <c r="I33" s="169"/>
      <c r="J33" s="169"/>
      <c r="K33" s="169"/>
      <c r="L33" s="169"/>
      <c r="M33" s="169"/>
      <c r="N33" s="4"/>
      <c r="O33" s="6"/>
      <c r="P33" s="4"/>
      <c r="Q33" s="4"/>
      <c r="R33" s="7"/>
      <c r="S33" s="6"/>
      <c r="T33" s="4"/>
      <c r="U33" s="4"/>
      <c r="V33" s="7"/>
      <c r="W33" s="6"/>
      <c r="X33" s="4"/>
      <c r="Y33" s="4"/>
      <c r="Z33" s="7"/>
    </row>
    <row r="34" spans="1:26" hidden="1" outlineLevel="1">
      <c r="A34" s="164" t="s">
        <v>195</v>
      </c>
      <c r="B34" s="165"/>
      <c r="C34" s="165"/>
      <c r="D34" s="165"/>
      <c r="E34" s="165"/>
      <c r="F34" s="165"/>
      <c r="G34" s="165"/>
      <c r="H34" s="165"/>
      <c r="I34" s="165"/>
      <c r="J34" s="165"/>
      <c r="K34" s="165"/>
      <c r="L34" s="165"/>
      <c r="M34" s="166"/>
      <c r="O34" s="6">
        <f t="shared" ref="O34:O60" si="10">IF($W$17=FALSE,(IF(ISBLANK(F34),-99,$C34-10*LOG(4*PI()*F$14^2)+3+10*LOG(1*G34)+Q$19)),-99)</f>
        <v>-99</v>
      </c>
      <c r="P34" s="4">
        <f t="shared" ref="P34:P60" si="11">IF($X$17=FALSE,(IF(ISBLANK(H34),-99,$C34-10*LOG(4*PI()*H$14^2)+3+10*LOG(1*I34)+R$19)),-99)</f>
        <v>-99</v>
      </c>
      <c r="Q34" s="4">
        <f t="shared" ref="Q34:Q60" si="12">IF($Y$17=FALSE,(IF(ISBLANK(J34),-99,$C34-10*LOG(4*PI()*J$14^2)+3+10*LOG(1*K34)+S$19)),-99)</f>
        <v>-99</v>
      </c>
      <c r="R34" s="7">
        <f t="shared" ref="R34:R60" si="13">IF($Z$17=FALSE,(IF(ISBLANK(L34),-99,$C34-10*LOG(4*PI()*L$14^2)+3+10*LOG(1*M34)+T$19)),-99)</f>
        <v>-99</v>
      </c>
      <c r="S34" s="6">
        <f>IF($W$17=FALSE,(IF(ISBLANK(F$34),-99,D$34-10*LOG(4*PI()*F$14^2)+3+3)),-99)</f>
        <v>-99</v>
      </c>
      <c r="T34" s="4">
        <f>IF($X$17=FALSE,(IF(ISBLANK(H34),-99,$D34-10*LOG(4*PI()*H$14^2)+3+3)),-99)</f>
        <v>-99</v>
      </c>
      <c r="U34" s="4">
        <f>IF($Y$17=FALSE,(IF(ISBLANK(J34),-99,D34-10*LOG(4*PI()*J$14^2)+3+3)),-99)</f>
        <v>-99</v>
      </c>
      <c r="V34" s="7">
        <f>IF($Z$17=FALSE,(IF(ISBLANK(L34),-99,D34-10*LOG(4*PI()*L$14^2)+3+3)),-99)</f>
        <v>-99</v>
      </c>
      <c r="W34" s="6">
        <f t="shared" ref="W34:Z49" si="14">10^(O34/10)</f>
        <v>1.2589254117941656E-10</v>
      </c>
      <c r="X34" s="4">
        <f t="shared" si="14"/>
        <v>1.2589254117941656E-10</v>
      </c>
      <c r="Y34" s="4">
        <f t="shared" si="14"/>
        <v>1.2589254117941656E-10</v>
      </c>
      <c r="Z34" s="7">
        <f t="shared" si="14"/>
        <v>1.2589254117941656E-10</v>
      </c>
    </row>
    <row r="35" spans="1:26" ht="12" hidden="1" outlineLevel="1">
      <c r="A35" s="124" t="s">
        <v>185</v>
      </c>
      <c r="B35" s="60"/>
      <c r="C35" s="97">
        <f>IFERROR(VLOOKUP($A35,'Katalog-støjkilder'!$B$9:$F$20,2,FALSE),"")</f>
        <v>0</v>
      </c>
      <c r="D35" s="97">
        <f>IFERROR(VLOOKUP($A35,'Katalog-støjkilder'!$B$9:$F$20,3,FALSE),"")</f>
        <v>0</v>
      </c>
      <c r="E35" s="72">
        <f>IFERROR(VLOOKUP($A35,'Katalog-støjkilder'!$B$9:$F$20,4,FALSE),"")</f>
        <v>0</v>
      </c>
      <c r="F35" s="57"/>
      <c r="G35" s="54">
        <f t="shared" ref="G35:G60" si="15">IF(ISBLANK(F35),0,$E35)</f>
        <v>0</v>
      </c>
      <c r="H35" s="58"/>
      <c r="I35" s="54">
        <f t="shared" ref="I35:I60" si="16">IF(ISBLANK(H35),0,$E35)</f>
        <v>0</v>
      </c>
      <c r="J35" s="58"/>
      <c r="K35" s="54">
        <f t="shared" ref="K35:K60" si="17">IF(ISBLANK(J35),0,$E35)</f>
        <v>0</v>
      </c>
      <c r="L35" s="58"/>
      <c r="M35" s="59">
        <f t="shared" ref="M35:M60" si="18">IF(ISBLANK(L35),0,$E35)</f>
        <v>0</v>
      </c>
      <c r="O35" s="6">
        <f t="shared" si="10"/>
        <v>-99</v>
      </c>
      <c r="P35" s="4">
        <f t="shared" si="11"/>
        <v>-99</v>
      </c>
      <c r="Q35" s="4">
        <f t="shared" si="12"/>
        <v>-99</v>
      </c>
      <c r="R35" s="7">
        <f t="shared" si="13"/>
        <v>-99</v>
      </c>
      <c r="S35" s="6">
        <f>IF($W$17=FALSE,(IF(ISBLANK(F$35),-99,D$35-10*LOG(4*PI()*F$14^2)+3+3)),-99)</f>
        <v>-99</v>
      </c>
      <c r="T35" s="4">
        <f>IF($X$17=FALSE,(IF(ISBLANK(H35),-99,D35-10*LOG(4*PI()*H$14^2)+3+3)),-99)</f>
        <v>-99</v>
      </c>
      <c r="U35" s="4">
        <f t="shared" ref="U35:U60" si="19">IF($Y$17=FALSE,(IF(ISBLANK(J35),-99,D35-10*LOG(4*PI()*J$14^2)+3+3)),-99)</f>
        <v>-99</v>
      </c>
      <c r="V35" s="7">
        <f t="shared" ref="V35:V60" si="20">IF($Z$17=FALSE,(IF(ISBLANK(L35),-99,D35-10*LOG(4*PI()*L$14^2)+3+3)),-99)</f>
        <v>-99</v>
      </c>
      <c r="W35" s="6">
        <f t="shared" si="14"/>
        <v>1.2589254117941656E-10</v>
      </c>
      <c r="X35" s="4">
        <f t="shared" si="14"/>
        <v>1.2589254117941656E-10</v>
      </c>
      <c r="Y35" s="4">
        <f t="shared" si="14"/>
        <v>1.2589254117941656E-10</v>
      </c>
      <c r="Z35" s="7">
        <f t="shared" si="14"/>
        <v>1.2589254117941656E-10</v>
      </c>
    </row>
    <row r="36" spans="1:26" ht="12" hidden="1" outlineLevel="1">
      <c r="A36" s="124" t="s">
        <v>185</v>
      </c>
      <c r="B36" s="60"/>
      <c r="C36" s="97">
        <f>IFERROR(VLOOKUP($A36,'Katalog-støjkilder'!$B$9:$F$20,2,FALSE),"")</f>
        <v>0</v>
      </c>
      <c r="D36" s="97">
        <f>IFERROR(VLOOKUP($A36,'Katalog-støjkilder'!$B$9:$F$20,3,FALSE),"")</f>
        <v>0</v>
      </c>
      <c r="E36" s="72">
        <f>IFERROR(VLOOKUP($A36,'Katalog-støjkilder'!$B$9:$F$20,4,FALSE),"")</f>
        <v>0</v>
      </c>
      <c r="F36" s="57"/>
      <c r="G36" s="54">
        <f t="shared" si="15"/>
        <v>0</v>
      </c>
      <c r="H36" s="58"/>
      <c r="I36" s="54">
        <f t="shared" si="16"/>
        <v>0</v>
      </c>
      <c r="J36" s="58"/>
      <c r="K36" s="54">
        <f t="shared" si="17"/>
        <v>0</v>
      </c>
      <c r="L36" s="58"/>
      <c r="M36" s="59">
        <f t="shared" si="18"/>
        <v>0</v>
      </c>
      <c r="O36" s="6">
        <f t="shared" si="10"/>
        <v>-99</v>
      </c>
      <c r="P36" s="4">
        <f t="shared" si="11"/>
        <v>-99</v>
      </c>
      <c r="Q36" s="4">
        <f t="shared" si="12"/>
        <v>-99</v>
      </c>
      <c r="R36" s="7">
        <f t="shared" si="13"/>
        <v>-99</v>
      </c>
      <c r="S36" s="6">
        <f t="shared" ref="S36:S60" si="21">IF($W$17=FALSE,(IF(ISBLANK(F36),-99,$D36-10*LOG(4*PI()*F$14^2)+3+3)),-99)</f>
        <v>-99</v>
      </c>
      <c r="T36" s="4">
        <f>IF($X$17=FALSE,(IF(ISBLANK(H36),-99,D36-10*LOG(4*PI()*H$14^2)+3+3)),-99)</f>
        <v>-99</v>
      </c>
      <c r="U36" s="4">
        <f t="shared" si="19"/>
        <v>-99</v>
      </c>
      <c r="V36" s="7">
        <f t="shared" si="20"/>
        <v>-99</v>
      </c>
      <c r="W36" s="6">
        <f t="shared" si="14"/>
        <v>1.2589254117941656E-10</v>
      </c>
      <c r="X36" s="4">
        <f t="shared" si="14"/>
        <v>1.2589254117941656E-10</v>
      </c>
      <c r="Y36" s="4">
        <f t="shared" si="14"/>
        <v>1.2589254117941656E-10</v>
      </c>
      <c r="Z36" s="7">
        <f t="shared" si="14"/>
        <v>1.2589254117941656E-10</v>
      </c>
    </row>
    <row r="37" spans="1:26" ht="12" hidden="1" outlineLevel="1">
      <c r="A37" s="124" t="s">
        <v>185</v>
      </c>
      <c r="B37" s="60"/>
      <c r="C37" s="97">
        <f>IFERROR(VLOOKUP($A37,'Katalog-støjkilder'!$B$9:$F$20,2,FALSE),"")</f>
        <v>0</v>
      </c>
      <c r="D37" s="97">
        <f>IFERROR(VLOOKUP($A37,'Katalog-støjkilder'!$B$9:$F$20,3,FALSE),"")</f>
        <v>0</v>
      </c>
      <c r="E37" s="72">
        <f>IFERROR(VLOOKUP($A37,'Katalog-støjkilder'!$B$9:$F$20,4,FALSE),"")</f>
        <v>0</v>
      </c>
      <c r="F37" s="57"/>
      <c r="G37" s="54">
        <f t="shared" si="15"/>
        <v>0</v>
      </c>
      <c r="H37" s="58"/>
      <c r="I37" s="54">
        <f t="shared" si="16"/>
        <v>0</v>
      </c>
      <c r="J37" s="58"/>
      <c r="K37" s="54">
        <f t="shared" si="17"/>
        <v>0</v>
      </c>
      <c r="L37" s="58"/>
      <c r="M37" s="59">
        <f t="shared" si="18"/>
        <v>0</v>
      </c>
      <c r="O37" s="6">
        <f t="shared" si="10"/>
        <v>-99</v>
      </c>
      <c r="P37" s="4">
        <f t="shared" si="11"/>
        <v>-99</v>
      </c>
      <c r="Q37" s="4">
        <f t="shared" si="12"/>
        <v>-99</v>
      </c>
      <c r="R37" s="7">
        <f t="shared" si="13"/>
        <v>-99</v>
      </c>
      <c r="S37" s="6">
        <f t="shared" si="21"/>
        <v>-99</v>
      </c>
      <c r="T37" s="4">
        <f t="shared" ref="T37:T60" si="22">IF($X$17=FALSE,(IF(ISBLANK(H37),-99,D37-10*LOG(4*PI()*H$14^2)+3+3)),-99)</f>
        <v>-99</v>
      </c>
      <c r="U37" s="4">
        <f t="shared" si="19"/>
        <v>-99</v>
      </c>
      <c r="V37" s="7">
        <f t="shared" si="20"/>
        <v>-99</v>
      </c>
      <c r="W37" s="6">
        <f t="shared" si="14"/>
        <v>1.2589254117941656E-10</v>
      </c>
      <c r="X37" s="4">
        <f t="shared" si="14"/>
        <v>1.2589254117941656E-10</v>
      </c>
      <c r="Y37" s="4">
        <f t="shared" si="14"/>
        <v>1.2589254117941656E-10</v>
      </c>
      <c r="Z37" s="7">
        <f t="shared" si="14"/>
        <v>1.2589254117941656E-10</v>
      </c>
    </row>
    <row r="38" spans="1:26" hidden="1" outlineLevel="1">
      <c r="A38" s="164" t="s">
        <v>193</v>
      </c>
      <c r="B38" s="165"/>
      <c r="C38" s="165"/>
      <c r="D38" s="165"/>
      <c r="E38" s="165"/>
      <c r="F38" s="165"/>
      <c r="G38" s="165"/>
      <c r="H38" s="165"/>
      <c r="I38" s="165"/>
      <c r="J38" s="165"/>
      <c r="K38" s="165"/>
      <c r="L38" s="165"/>
      <c r="M38" s="166"/>
      <c r="O38" s="6">
        <f t="shared" si="10"/>
        <v>-99</v>
      </c>
      <c r="P38" s="4">
        <f t="shared" si="11"/>
        <v>-99</v>
      </c>
      <c r="Q38" s="4">
        <f t="shared" si="12"/>
        <v>-99</v>
      </c>
      <c r="R38" s="7">
        <f t="shared" si="13"/>
        <v>-99</v>
      </c>
      <c r="S38" s="6">
        <f t="shared" si="21"/>
        <v>-99</v>
      </c>
      <c r="T38" s="4">
        <f t="shared" si="22"/>
        <v>-99</v>
      </c>
      <c r="U38" s="4">
        <f t="shared" si="19"/>
        <v>-99</v>
      </c>
      <c r="V38" s="7">
        <f t="shared" si="20"/>
        <v>-99</v>
      </c>
      <c r="W38" s="6">
        <f t="shared" si="14"/>
        <v>1.2589254117941656E-10</v>
      </c>
      <c r="X38" s="4">
        <f t="shared" si="14"/>
        <v>1.2589254117941656E-10</v>
      </c>
      <c r="Y38" s="4">
        <f t="shared" si="14"/>
        <v>1.2589254117941656E-10</v>
      </c>
      <c r="Z38" s="7">
        <f t="shared" si="14"/>
        <v>1.2589254117941656E-10</v>
      </c>
    </row>
    <row r="39" spans="1:26" ht="12" hidden="1" outlineLevel="1">
      <c r="A39" s="124" t="s">
        <v>185</v>
      </c>
      <c r="B39" s="60"/>
      <c r="C39" s="97">
        <f>IFERROR(VLOOKUP($A39,'Katalog-støjkilder'!$B$22:$F$55,2,FALSE),"")</f>
        <v>0</v>
      </c>
      <c r="D39" s="97">
        <f>IFERROR(VLOOKUP($A39,'Katalog-støjkilder'!$B$22:$F$55,3,FALSE),"")</f>
        <v>0</v>
      </c>
      <c r="E39" s="72">
        <f>IFERROR(VLOOKUP($A39,'Katalog-støjkilder'!$B$22:$F$55,4,FALSE),"")</f>
        <v>0</v>
      </c>
      <c r="F39" s="57"/>
      <c r="G39" s="54">
        <f t="shared" si="15"/>
        <v>0</v>
      </c>
      <c r="H39" s="58"/>
      <c r="I39" s="54">
        <f t="shared" si="16"/>
        <v>0</v>
      </c>
      <c r="J39" s="58"/>
      <c r="K39" s="54">
        <f t="shared" si="17"/>
        <v>0</v>
      </c>
      <c r="L39" s="58"/>
      <c r="M39" s="59">
        <f t="shared" si="18"/>
        <v>0</v>
      </c>
      <c r="O39" s="6">
        <f t="shared" si="10"/>
        <v>-99</v>
      </c>
      <c r="P39" s="4">
        <f t="shared" si="11"/>
        <v>-99</v>
      </c>
      <c r="Q39" s="4">
        <f t="shared" si="12"/>
        <v>-99</v>
      </c>
      <c r="R39" s="7">
        <f t="shared" si="13"/>
        <v>-99</v>
      </c>
      <c r="S39" s="6">
        <f t="shared" si="21"/>
        <v>-99</v>
      </c>
      <c r="T39" s="4">
        <f t="shared" si="22"/>
        <v>-99</v>
      </c>
      <c r="U39" s="4">
        <f t="shared" si="19"/>
        <v>-99</v>
      </c>
      <c r="V39" s="7">
        <f t="shared" si="20"/>
        <v>-99</v>
      </c>
      <c r="W39" s="6">
        <f t="shared" si="14"/>
        <v>1.2589254117941656E-10</v>
      </c>
      <c r="X39" s="4">
        <f t="shared" si="14"/>
        <v>1.2589254117941656E-10</v>
      </c>
      <c r="Y39" s="4">
        <f t="shared" si="14"/>
        <v>1.2589254117941656E-10</v>
      </c>
      <c r="Z39" s="7">
        <f t="shared" si="14"/>
        <v>1.2589254117941656E-10</v>
      </c>
    </row>
    <row r="40" spans="1:26" ht="12" hidden="1" outlineLevel="1">
      <c r="A40" s="124" t="s">
        <v>185</v>
      </c>
      <c r="B40" s="60"/>
      <c r="C40" s="97">
        <f>IFERROR(VLOOKUP($A40,'Katalog-støjkilder'!$B$22:$F$55,2,FALSE),"")</f>
        <v>0</v>
      </c>
      <c r="D40" s="97">
        <f>IFERROR(VLOOKUP($A40,'Katalog-støjkilder'!$B$22:$F$55,3,FALSE),"")</f>
        <v>0</v>
      </c>
      <c r="E40" s="72">
        <f>IFERROR(VLOOKUP($A40,'Katalog-støjkilder'!$B$22:$F$55,4,FALSE),"")</f>
        <v>0</v>
      </c>
      <c r="F40" s="57"/>
      <c r="G40" s="54">
        <f t="shared" si="15"/>
        <v>0</v>
      </c>
      <c r="H40" s="58"/>
      <c r="I40" s="54">
        <f t="shared" si="16"/>
        <v>0</v>
      </c>
      <c r="J40" s="58"/>
      <c r="K40" s="54">
        <f t="shared" si="17"/>
        <v>0</v>
      </c>
      <c r="L40" s="58"/>
      <c r="M40" s="59">
        <f t="shared" si="18"/>
        <v>0</v>
      </c>
      <c r="O40" s="6">
        <f t="shared" si="10"/>
        <v>-99</v>
      </c>
      <c r="P40" s="4">
        <f t="shared" si="11"/>
        <v>-99</v>
      </c>
      <c r="Q40" s="4">
        <f t="shared" si="12"/>
        <v>-99</v>
      </c>
      <c r="R40" s="7">
        <f t="shared" si="13"/>
        <v>-99</v>
      </c>
      <c r="S40" s="6">
        <f t="shared" si="21"/>
        <v>-99</v>
      </c>
      <c r="T40" s="4">
        <f t="shared" si="22"/>
        <v>-99</v>
      </c>
      <c r="U40" s="4">
        <f t="shared" si="19"/>
        <v>-99</v>
      </c>
      <c r="V40" s="7">
        <f t="shared" si="20"/>
        <v>-99</v>
      </c>
      <c r="W40" s="6">
        <f t="shared" si="14"/>
        <v>1.2589254117941656E-10</v>
      </c>
      <c r="X40" s="4">
        <f t="shared" si="14"/>
        <v>1.2589254117941656E-10</v>
      </c>
      <c r="Y40" s="4">
        <f t="shared" si="14"/>
        <v>1.2589254117941656E-10</v>
      </c>
      <c r="Z40" s="7">
        <f t="shared" si="14"/>
        <v>1.2589254117941656E-10</v>
      </c>
    </row>
    <row r="41" spans="1:26" ht="12" hidden="1" outlineLevel="1">
      <c r="A41" s="124" t="s">
        <v>185</v>
      </c>
      <c r="B41" s="60"/>
      <c r="C41" s="97">
        <f>IFERROR(VLOOKUP($A41,'Katalog-støjkilder'!$B$22:$F$55,2,FALSE),"")</f>
        <v>0</v>
      </c>
      <c r="D41" s="97">
        <f>IFERROR(VLOOKUP($A41,'Katalog-støjkilder'!$B$9:$F$153,3,FALSE),"")</f>
        <v>0</v>
      </c>
      <c r="E41" s="72">
        <f>IFERROR(VLOOKUP($A41,'Katalog-støjkilder'!$B$22:$F$55,4,FALSE),"")</f>
        <v>0</v>
      </c>
      <c r="F41" s="57"/>
      <c r="G41" s="54">
        <f t="shared" si="15"/>
        <v>0</v>
      </c>
      <c r="H41" s="58"/>
      <c r="I41" s="54">
        <f t="shared" si="16"/>
        <v>0</v>
      </c>
      <c r="J41" s="58"/>
      <c r="K41" s="54">
        <f t="shared" si="17"/>
        <v>0</v>
      </c>
      <c r="L41" s="58"/>
      <c r="M41" s="59">
        <f t="shared" si="18"/>
        <v>0</v>
      </c>
      <c r="O41" s="6">
        <f t="shared" si="10"/>
        <v>-99</v>
      </c>
      <c r="P41" s="4">
        <f t="shared" si="11"/>
        <v>-99</v>
      </c>
      <c r="Q41" s="4">
        <f t="shared" si="12"/>
        <v>-99</v>
      </c>
      <c r="R41" s="7">
        <f t="shared" si="13"/>
        <v>-99</v>
      </c>
      <c r="S41" s="6">
        <f t="shared" si="21"/>
        <v>-99</v>
      </c>
      <c r="T41" s="4">
        <f t="shared" si="22"/>
        <v>-99</v>
      </c>
      <c r="U41" s="4">
        <f t="shared" si="19"/>
        <v>-99</v>
      </c>
      <c r="V41" s="7">
        <f t="shared" si="20"/>
        <v>-99</v>
      </c>
      <c r="W41" s="6">
        <f t="shared" si="14"/>
        <v>1.2589254117941656E-10</v>
      </c>
      <c r="X41" s="4">
        <f t="shared" si="14"/>
        <v>1.2589254117941656E-10</v>
      </c>
      <c r="Y41" s="4">
        <f t="shared" si="14"/>
        <v>1.2589254117941656E-10</v>
      </c>
      <c r="Z41" s="7">
        <f t="shared" si="14"/>
        <v>1.2589254117941656E-10</v>
      </c>
    </row>
    <row r="42" spans="1:26" hidden="1" outlineLevel="1">
      <c r="A42" s="164" t="s">
        <v>192</v>
      </c>
      <c r="B42" s="143"/>
      <c r="C42" s="143"/>
      <c r="D42" s="143"/>
      <c r="E42" s="143"/>
      <c r="F42" s="143"/>
      <c r="G42" s="143"/>
      <c r="H42" s="143"/>
      <c r="I42" s="143"/>
      <c r="J42" s="143"/>
      <c r="K42" s="143"/>
      <c r="L42" s="143"/>
      <c r="M42" s="144"/>
      <c r="O42" s="6">
        <f t="shared" si="10"/>
        <v>-99</v>
      </c>
      <c r="P42" s="4">
        <f t="shared" si="11"/>
        <v>-99</v>
      </c>
      <c r="Q42" s="4">
        <f t="shared" si="12"/>
        <v>-99</v>
      </c>
      <c r="R42" s="7">
        <f t="shared" si="13"/>
        <v>-99</v>
      </c>
      <c r="S42" s="6">
        <f t="shared" si="21"/>
        <v>-99</v>
      </c>
      <c r="T42" s="4">
        <f t="shared" si="22"/>
        <v>-99</v>
      </c>
      <c r="U42" s="4">
        <f t="shared" si="19"/>
        <v>-99</v>
      </c>
      <c r="V42" s="7">
        <f t="shared" si="20"/>
        <v>-99</v>
      </c>
      <c r="W42" s="6">
        <f t="shared" si="14"/>
        <v>1.2589254117941656E-10</v>
      </c>
      <c r="X42" s="4">
        <f t="shared" si="14"/>
        <v>1.2589254117941656E-10</v>
      </c>
      <c r="Y42" s="4">
        <f t="shared" si="14"/>
        <v>1.2589254117941656E-10</v>
      </c>
      <c r="Z42" s="7">
        <f t="shared" si="14"/>
        <v>1.2589254117941656E-10</v>
      </c>
    </row>
    <row r="43" spans="1:26" ht="12" hidden="1" outlineLevel="1">
      <c r="A43" s="124" t="s">
        <v>185</v>
      </c>
      <c r="B43" s="60"/>
      <c r="C43" s="97">
        <f>IFERROR(VLOOKUP($A43,'Katalog-støjkilder'!$B$57:$F$92,2,FALSE),"")</f>
        <v>0</v>
      </c>
      <c r="D43" s="97">
        <f>IFERROR(VLOOKUP($A43,'Katalog-støjkilder'!$B$57:$F$92,3,FALSE),"")</f>
        <v>0</v>
      </c>
      <c r="E43" s="72">
        <f>IFERROR(VLOOKUP($A43,'Katalog-støjkilder'!$B$57:$F$92,4,FALSE),"")</f>
        <v>0</v>
      </c>
      <c r="F43" s="57"/>
      <c r="G43" s="54">
        <f t="shared" si="15"/>
        <v>0</v>
      </c>
      <c r="H43" s="58"/>
      <c r="I43" s="54">
        <f t="shared" si="16"/>
        <v>0</v>
      </c>
      <c r="J43" s="58"/>
      <c r="K43" s="54">
        <f t="shared" si="17"/>
        <v>0</v>
      </c>
      <c r="L43" s="58"/>
      <c r="M43" s="59">
        <f t="shared" si="18"/>
        <v>0</v>
      </c>
      <c r="O43" s="6">
        <f t="shared" si="10"/>
        <v>-99</v>
      </c>
      <c r="P43" s="4">
        <f t="shared" si="11"/>
        <v>-99</v>
      </c>
      <c r="Q43" s="4">
        <f t="shared" si="12"/>
        <v>-99</v>
      </c>
      <c r="R43" s="7">
        <f t="shared" si="13"/>
        <v>-99</v>
      </c>
      <c r="S43" s="6">
        <f t="shared" si="21"/>
        <v>-99</v>
      </c>
      <c r="T43" s="4">
        <f t="shared" si="22"/>
        <v>-99</v>
      </c>
      <c r="U43" s="4">
        <f t="shared" si="19"/>
        <v>-99</v>
      </c>
      <c r="V43" s="7">
        <f t="shared" si="20"/>
        <v>-99</v>
      </c>
      <c r="W43" s="6">
        <f t="shared" si="14"/>
        <v>1.2589254117941656E-10</v>
      </c>
      <c r="X43" s="4">
        <f t="shared" si="14"/>
        <v>1.2589254117941656E-10</v>
      </c>
      <c r="Y43" s="4">
        <f t="shared" si="14"/>
        <v>1.2589254117941656E-10</v>
      </c>
      <c r="Z43" s="7">
        <f t="shared" si="14"/>
        <v>1.2589254117941656E-10</v>
      </c>
    </row>
    <row r="44" spans="1:26" ht="12" hidden="1" outlineLevel="1">
      <c r="A44" s="124" t="s">
        <v>185</v>
      </c>
      <c r="B44" s="60"/>
      <c r="C44" s="97">
        <f>IFERROR(VLOOKUP($A44,'Katalog-støjkilder'!$B$57:$F$92,2,FALSE),"")</f>
        <v>0</v>
      </c>
      <c r="D44" s="97">
        <f>IFERROR(VLOOKUP($A44,'Katalog-støjkilder'!$B$57:$F$92,3,FALSE),"")</f>
        <v>0</v>
      </c>
      <c r="E44" s="72">
        <f>IFERROR(VLOOKUP($A44,'Katalog-støjkilder'!$B$57:$F$92,4,FALSE),"")</f>
        <v>0</v>
      </c>
      <c r="F44" s="57"/>
      <c r="G44" s="54">
        <f t="shared" si="15"/>
        <v>0</v>
      </c>
      <c r="H44" s="58"/>
      <c r="I44" s="54">
        <f t="shared" si="16"/>
        <v>0</v>
      </c>
      <c r="J44" s="58"/>
      <c r="K44" s="54">
        <f t="shared" si="17"/>
        <v>0</v>
      </c>
      <c r="L44" s="58"/>
      <c r="M44" s="59">
        <f t="shared" si="18"/>
        <v>0</v>
      </c>
      <c r="O44" s="6">
        <f t="shared" si="10"/>
        <v>-99</v>
      </c>
      <c r="P44" s="4">
        <f t="shared" si="11"/>
        <v>-99</v>
      </c>
      <c r="Q44" s="4">
        <f t="shared" si="12"/>
        <v>-99</v>
      </c>
      <c r="R44" s="7">
        <f t="shared" si="13"/>
        <v>-99</v>
      </c>
      <c r="S44" s="6">
        <f t="shared" si="21"/>
        <v>-99</v>
      </c>
      <c r="T44" s="4">
        <f t="shared" si="22"/>
        <v>-99</v>
      </c>
      <c r="U44" s="4">
        <f t="shared" si="19"/>
        <v>-99</v>
      </c>
      <c r="V44" s="7">
        <f t="shared" si="20"/>
        <v>-99</v>
      </c>
      <c r="W44" s="6">
        <f t="shared" si="14"/>
        <v>1.2589254117941656E-10</v>
      </c>
      <c r="X44" s="4">
        <f t="shared" si="14"/>
        <v>1.2589254117941656E-10</v>
      </c>
      <c r="Y44" s="4">
        <f t="shared" si="14"/>
        <v>1.2589254117941656E-10</v>
      </c>
      <c r="Z44" s="7">
        <f t="shared" si="14"/>
        <v>1.2589254117941656E-10</v>
      </c>
    </row>
    <row r="45" spans="1:26" ht="12" hidden="1" outlineLevel="1">
      <c r="A45" s="124" t="s">
        <v>185</v>
      </c>
      <c r="B45" s="60"/>
      <c r="C45" s="97">
        <f>IFERROR(VLOOKUP($A45,'Katalog-støjkilder'!$B$57:$F$92,2,FALSE),"")</f>
        <v>0</v>
      </c>
      <c r="D45" s="97">
        <f>IFERROR(VLOOKUP($A45,'Katalog-støjkilder'!$B$57:$F$92,3,FALSE),"")</f>
        <v>0</v>
      </c>
      <c r="E45" s="72">
        <f>IFERROR(VLOOKUP($A45,'Katalog-støjkilder'!$B$57:$F$92,4,FALSE),"")</f>
        <v>0</v>
      </c>
      <c r="F45" s="57"/>
      <c r="G45" s="54">
        <f t="shared" si="15"/>
        <v>0</v>
      </c>
      <c r="H45" s="58"/>
      <c r="I45" s="54">
        <f t="shared" si="16"/>
        <v>0</v>
      </c>
      <c r="J45" s="58"/>
      <c r="K45" s="54">
        <f t="shared" si="17"/>
        <v>0</v>
      </c>
      <c r="L45" s="58"/>
      <c r="M45" s="59">
        <f t="shared" si="18"/>
        <v>0</v>
      </c>
      <c r="O45" s="6">
        <f t="shared" si="10"/>
        <v>-99</v>
      </c>
      <c r="P45" s="4">
        <f t="shared" si="11"/>
        <v>-99</v>
      </c>
      <c r="Q45" s="4">
        <f t="shared" si="12"/>
        <v>-99</v>
      </c>
      <c r="R45" s="7">
        <f t="shared" si="13"/>
        <v>-99</v>
      </c>
      <c r="S45" s="6">
        <f t="shared" si="21"/>
        <v>-99</v>
      </c>
      <c r="T45" s="4">
        <f t="shared" si="22"/>
        <v>-99</v>
      </c>
      <c r="U45" s="4">
        <f t="shared" si="19"/>
        <v>-99</v>
      </c>
      <c r="V45" s="7">
        <f t="shared" si="20"/>
        <v>-99</v>
      </c>
      <c r="W45" s="6">
        <f t="shared" si="14"/>
        <v>1.2589254117941656E-10</v>
      </c>
      <c r="X45" s="4">
        <f t="shared" si="14"/>
        <v>1.2589254117941656E-10</v>
      </c>
      <c r="Y45" s="4">
        <f t="shared" si="14"/>
        <v>1.2589254117941656E-10</v>
      </c>
      <c r="Z45" s="7">
        <f t="shared" si="14"/>
        <v>1.2589254117941656E-10</v>
      </c>
    </row>
    <row r="46" spans="1:26" hidden="1" outlineLevel="1">
      <c r="A46" s="164" t="s">
        <v>274</v>
      </c>
      <c r="B46" s="165"/>
      <c r="C46" s="165"/>
      <c r="D46" s="165"/>
      <c r="E46" s="165"/>
      <c r="F46" s="165"/>
      <c r="G46" s="165"/>
      <c r="H46" s="165"/>
      <c r="I46" s="165"/>
      <c r="J46" s="165"/>
      <c r="K46" s="165"/>
      <c r="L46" s="165"/>
      <c r="M46" s="166"/>
      <c r="O46" s="6">
        <f t="shared" si="10"/>
        <v>-99</v>
      </c>
      <c r="P46" s="4">
        <f t="shared" si="11"/>
        <v>-99</v>
      </c>
      <c r="Q46" s="4">
        <f t="shared" si="12"/>
        <v>-99</v>
      </c>
      <c r="R46" s="7">
        <f t="shared" si="13"/>
        <v>-99</v>
      </c>
      <c r="S46" s="6">
        <f t="shared" si="21"/>
        <v>-99</v>
      </c>
      <c r="T46" s="4">
        <f t="shared" si="22"/>
        <v>-99</v>
      </c>
      <c r="U46" s="4">
        <f t="shared" si="19"/>
        <v>-99</v>
      </c>
      <c r="V46" s="7">
        <f t="shared" si="20"/>
        <v>-99</v>
      </c>
      <c r="W46" s="6">
        <f t="shared" si="14"/>
        <v>1.2589254117941656E-10</v>
      </c>
      <c r="X46" s="4">
        <f t="shared" si="14"/>
        <v>1.2589254117941656E-10</v>
      </c>
      <c r="Y46" s="4">
        <f t="shared" si="14"/>
        <v>1.2589254117941656E-10</v>
      </c>
      <c r="Z46" s="7">
        <f t="shared" si="14"/>
        <v>1.2589254117941656E-10</v>
      </c>
    </row>
    <row r="47" spans="1:26" ht="12" hidden="1" outlineLevel="1">
      <c r="A47" s="124" t="s">
        <v>185</v>
      </c>
      <c r="B47" s="60"/>
      <c r="C47" s="97">
        <f>IFERROR(VLOOKUP($A47,'Katalog-støjkilder'!$B$94:$F$133,2,FALSE),"")</f>
        <v>0</v>
      </c>
      <c r="D47" s="97">
        <f>IFERROR(VLOOKUP($A47,'Katalog-støjkilder'!$B$94:$F$133,3,FALSE),"")</f>
        <v>0</v>
      </c>
      <c r="E47" s="72">
        <f>IFERROR(VLOOKUP($A47,'Katalog-støjkilder'!$B$94:$F$133,4,FALSE),"")</f>
        <v>0</v>
      </c>
      <c r="F47" s="57"/>
      <c r="G47" s="54">
        <f t="shared" si="15"/>
        <v>0</v>
      </c>
      <c r="H47" s="58"/>
      <c r="I47" s="54">
        <f t="shared" si="16"/>
        <v>0</v>
      </c>
      <c r="J47" s="58"/>
      <c r="K47" s="54">
        <f t="shared" si="17"/>
        <v>0</v>
      </c>
      <c r="L47" s="58"/>
      <c r="M47" s="59">
        <f t="shared" si="18"/>
        <v>0</v>
      </c>
      <c r="O47" s="6">
        <f t="shared" si="10"/>
        <v>-99</v>
      </c>
      <c r="P47" s="4">
        <f t="shared" si="11"/>
        <v>-99</v>
      </c>
      <c r="Q47" s="4">
        <f t="shared" si="12"/>
        <v>-99</v>
      </c>
      <c r="R47" s="7">
        <f t="shared" si="13"/>
        <v>-99</v>
      </c>
      <c r="S47" s="6">
        <f t="shared" si="21"/>
        <v>-99</v>
      </c>
      <c r="T47" s="4">
        <f t="shared" si="22"/>
        <v>-99</v>
      </c>
      <c r="U47" s="4">
        <f t="shared" si="19"/>
        <v>-99</v>
      </c>
      <c r="V47" s="7">
        <f t="shared" si="20"/>
        <v>-99</v>
      </c>
      <c r="W47" s="6">
        <f t="shared" si="14"/>
        <v>1.2589254117941656E-10</v>
      </c>
      <c r="X47" s="4">
        <f t="shared" si="14"/>
        <v>1.2589254117941656E-10</v>
      </c>
      <c r="Y47" s="4">
        <f t="shared" si="14"/>
        <v>1.2589254117941656E-10</v>
      </c>
      <c r="Z47" s="7">
        <f t="shared" si="14"/>
        <v>1.2589254117941656E-10</v>
      </c>
    </row>
    <row r="48" spans="1:26" ht="12" hidden="1" outlineLevel="1">
      <c r="A48" s="124" t="s">
        <v>185</v>
      </c>
      <c r="B48" s="60"/>
      <c r="C48" s="97">
        <f>IFERROR(VLOOKUP($A48,'Katalog-støjkilder'!$B$94:$F$133,2,FALSE),"")</f>
        <v>0</v>
      </c>
      <c r="D48" s="97">
        <f>IFERROR(VLOOKUP($A48,'Katalog-støjkilder'!$B$94:$F$133,3,FALSE),"")</f>
        <v>0</v>
      </c>
      <c r="E48" s="72">
        <f>IFERROR(VLOOKUP($A48,'Katalog-støjkilder'!$B$94:$F$133,4,FALSE),"")</f>
        <v>0</v>
      </c>
      <c r="F48" s="57"/>
      <c r="G48" s="54">
        <f t="shared" si="15"/>
        <v>0</v>
      </c>
      <c r="H48" s="58"/>
      <c r="I48" s="54">
        <f t="shared" si="16"/>
        <v>0</v>
      </c>
      <c r="J48" s="58"/>
      <c r="K48" s="54">
        <f t="shared" si="17"/>
        <v>0</v>
      </c>
      <c r="L48" s="58"/>
      <c r="M48" s="59">
        <f t="shared" si="18"/>
        <v>0</v>
      </c>
      <c r="O48" s="6">
        <f t="shared" si="10"/>
        <v>-99</v>
      </c>
      <c r="P48" s="4">
        <f t="shared" si="11"/>
        <v>-99</v>
      </c>
      <c r="Q48" s="4">
        <f t="shared" si="12"/>
        <v>-99</v>
      </c>
      <c r="R48" s="7">
        <f t="shared" si="13"/>
        <v>-99</v>
      </c>
      <c r="S48" s="6">
        <f t="shared" si="21"/>
        <v>-99</v>
      </c>
      <c r="T48" s="4">
        <f t="shared" si="22"/>
        <v>-99</v>
      </c>
      <c r="U48" s="4">
        <f t="shared" si="19"/>
        <v>-99</v>
      </c>
      <c r="V48" s="7">
        <f t="shared" si="20"/>
        <v>-99</v>
      </c>
      <c r="W48" s="6">
        <f t="shared" si="14"/>
        <v>1.2589254117941656E-10</v>
      </c>
      <c r="X48" s="4">
        <f t="shared" si="14"/>
        <v>1.2589254117941656E-10</v>
      </c>
      <c r="Y48" s="4">
        <f t="shared" si="14"/>
        <v>1.2589254117941656E-10</v>
      </c>
      <c r="Z48" s="7">
        <f t="shared" si="14"/>
        <v>1.2589254117941656E-10</v>
      </c>
    </row>
    <row r="49" spans="1:26" ht="12" hidden="1" outlineLevel="1">
      <c r="A49" s="124" t="s">
        <v>185</v>
      </c>
      <c r="B49" s="60"/>
      <c r="C49" s="97">
        <f>IFERROR(VLOOKUP($A49,'Katalog-støjkilder'!$B$94:$F$133,2,FALSE),"")</f>
        <v>0</v>
      </c>
      <c r="D49" s="97">
        <f>IFERROR(VLOOKUP($A49,'Katalog-støjkilder'!$B$94:$F$133,3,FALSE),"")</f>
        <v>0</v>
      </c>
      <c r="E49" s="72" t="str">
        <f>IFERROR(VLOOKUP($A49,'Katalog-støjkilder'!$E$94:$F$133,4,FALSE),"")</f>
        <v/>
      </c>
      <c r="F49" s="57"/>
      <c r="G49" s="54">
        <f t="shared" si="15"/>
        <v>0</v>
      </c>
      <c r="H49" s="58"/>
      <c r="I49" s="54">
        <f t="shared" si="16"/>
        <v>0</v>
      </c>
      <c r="J49" s="58"/>
      <c r="K49" s="54">
        <f t="shared" si="17"/>
        <v>0</v>
      </c>
      <c r="L49" s="58"/>
      <c r="M49" s="59">
        <f t="shared" si="18"/>
        <v>0</v>
      </c>
      <c r="O49" s="6">
        <f t="shared" si="10"/>
        <v>-99</v>
      </c>
      <c r="P49" s="4">
        <f t="shared" si="11"/>
        <v>-99</v>
      </c>
      <c r="Q49" s="4">
        <f t="shared" si="12"/>
        <v>-99</v>
      </c>
      <c r="R49" s="7">
        <f t="shared" si="13"/>
        <v>-99</v>
      </c>
      <c r="S49" s="6">
        <f t="shared" si="21"/>
        <v>-99</v>
      </c>
      <c r="T49" s="4">
        <f t="shared" si="22"/>
        <v>-99</v>
      </c>
      <c r="U49" s="4">
        <f t="shared" si="19"/>
        <v>-99</v>
      </c>
      <c r="V49" s="7">
        <f t="shared" si="20"/>
        <v>-99</v>
      </c>
      <c r="W49" s="6">
        <f t="shared" si="14"/>
        <v>1.2589254117941656E-10</v>
      </c>
      <c r="X49" s="4">
        <f t="shared" si="14"/>
        <v>1.2589254117941656E-10</v>
      </c>
      <c r="Y49" s="4">
        <f t="shared" si="14"/>
        <v>1.2589254117941656E-10</v>
      </c>
      <c r="Z49" s="7">
        <f t="shared" si="14"/>
        <v>1.2589254117941656E-10</v>
      </c>
    </row>
    <row r="50" spans="1:26" hidden="1" outlineLevel="1">
      <c r="A50" s="164" t="s">
        <v>296</v>
      </c>
      <c r="B50" s="165"/>
      <c r="C50" s="165"/>
      <c r="D50" s="165"/>
      <c r="E50" s="165"/>
      <c r="F50" s="165"/>
      <c r="G50" s="165"/>
      <c r="H50" s="165"/>
      <c r="I50" s="165"/>
      <c r="J50" s="165"/>
      <c r="K50" s="165"/>
      <c r="L50" s="165"/>
      <c r="M50" s="166"/>
      <c r="O50" s="6">
        <f t="shared" si="10"/>
        <v>-99</v>
      </c>
      <c r="P50" s="4">
        <f t="shared" si="11"/>
        <v>-99</v>
      </c>
      <c r="Q50" s="4">
        <f t="shared" si="12"/>
        <v>-99</v>
      </c>
      <c r="R50" s="7">
        <f t="shared" si="13"/>
        <v>-99</v>
      </c>
      <c r="S50" s="6">
        <f t="shared" si="21"/>
        <v>-99</v>
      </c>
      <c r="T50" s="4">
        <f t="shared" si="22"/>
        <v>-99</v>
      </c>
      <c r="U50" s="4">
        <f t="shared" si="19"/>
        <v>-99</v>
      </c>
      <c r="V50" s="7">
        <f t="shared" si="20"/>
        <v>-99</v>
      </c>
      <c r="W50" s="6">
        <f t="shared" ref="W50:Z60" si="23">10^(O50/10)</f>
        <v>1.2589254117941656E-10</v>
      </c>
      <c r="X50" s="4">
        <f t="shared" si="23"/>
        <v>1.2589254117941656E-10</v>
      </c>
      <c r="Y50" s="4">
        <f t="shared" si="23"/>
        <v>1.2589254117941656E-10</v>
      </c>
      <c r="Z50" s="7">
        <f t="shared" si="23"/>
        <v>1.2589254117941656E-10</v>
      </c>
    </row>
    <row r="51" spans="1:26" ht="12" hidden="1" outlineLevel="1">
      <c r="A51" s="124" t="s">
        <v>185</v>
      </c>
      <c r="B51" s="60"/>
      <c r="C51" s="97">
        <f>IFERROR(VLOOKUP($A51,'Katalog-støjkilder'!$B$135:$F$161,2,FALSE),"")</f>
        <v>0</v>
      </c>
      <c r="D51" s="97">
        <f>IFERROR(VLOOKUP($A51,'Katalog-støjkilder'!$B$135:$F$161,3,FALSE),"")</f>
        <v>0</v>
      </c>
      <c r="E51" s="72">
        <f>IFERROR(VLOOKUP($A51,'Katalog-støjkilder'!$B$135:$F$161,4,FALSE),"")</f>
        <v>0</v>
      </c>
      <c r="F51" s="57"/>
      <c r="G51" s="54"/>
      <c r="H51" s="58"/>
      <c r="I51" s="54">
        <f t="shared" si="16"/>
        <v>0</v>
      </c>
      <c r="J51" s="58"/>
      <c r="K51" s="54">
        <f t="shared" si="17"/>
        <v>0</v>
      </c>
      <c r="L51" s="58"/>
      <c r="M51" s="59">
        <f t="shared" si="18"/>
        <v>0</v>
      </c>
      <c r="O51" s="6">
        <f t="shared" si="10"/>
        <v>-99</v>
      </c>
      <c r="P51" s="4">
        <f t="shared" si="11"/>
        <v>-99</v>
      </c>
      <c r="Q51" s="4">
        <f t="shared" si="12"/>
        <v>-99</v>
      </c>
      <c r="R51" s="7">
        <f t="shared" si="13"/>
        <v>-99</v>
      </c>
      <c r="S51" s="6">
        <f t="shared" si="21"/>
        <v>-99</v>
      </c>
      <c r="T51" s="4">
        <f t="shared" si="22"/>
        <v>-99</v>
      </c>
      <c r="U51" s="4">
        <f t="shared" si="19"/>
        <v>-99</v>
      </c>
      <c r="V51" s="7">
        <f t="shared" si="20"/>
        <v>-99</v>
      </c>
      <c r="W51" s="6">
        <f t="shared" si="23"/>
        <v>1.2589254117941656E-10</v>
      </c>
      <c r="X51" s="4">
        <f t="shared" si="23"/>
        <v>1.2589254117941656E-10</v>
      </c>
      <c r="Y51" s="4">
        <f t="shared" si="23"/>
        <v>1.2589254117941656E-10</v>
      </c>
      <c r="Z51" s="7">
        <f t="shared" si="23"/>
        <v>1.2589254117941656E-10</v>
      </c>
    </row>
    <row r="52" spans="1:26" ht="12" hidden="1" outlineLevel="1">
      <c r="A52" s="124" t="s">
        <v>185</v>
      </c>
      <c r="B52" s="60"/>
      <c r="C52" s="97">
        <f>IFERROR(VLOOKUP($A52,'Katalog-støjkilder'!$B$135:$F$161,2,FALSE),"")</f>
        <v>0</v>
      </c>
      <c r="D52" s="97">
        <f>IFERROR(VLOOKUP($A52,'Katalog-støjkilder'!$B$135:$F$161,3,FALSE),"")</f>
        <v>0</v>
      </c>
      <c r="E52" s="72">
        <f>IFERROR(VLOOKUP($A52,'Katalog-støjkilder'!$B$135:$F$161,4,FALSE),"")</f>
        <v>0</v>
      </c>
      <c r="F52" s="57"/>
      <c r="G52" s="54"/>
      <c r="H52" s="58"/>
      <c r="I52" s="54">
        <f t="shared" si="16"/>
        <v>0</v>
      </c>
      <c r="J52" s="58"/>
      <c r="K52" s="54">
        <f t="shared" si="17"/>
        <v>0</v>
      </c>
      <c r="L52" s="58"/>
      <c r="M52" s="59">
        <f t="shared" si="18"/>
        <v>0</v>
      </c>
      <c r="O52" s="6">
        <f t="shared" si="10"/>
        <v>-99</v>
      </c>
      <c r="P52" s="4">
        <f t="shared" si="11"/>
        <v>-99</v>
      </c>
      <c r="Q52" s="4">
        <f t="shared" si="12"/>
        <v>-99</v>
      </c>
      <c r="R52" s="7">
        <f t="shared" si="13"/>
        <v>-99</v>
      </c>
      <c r="S52" s="6">
        <f t="shared" si="21"/>
        <v>-99</v>
      </c>
      <c r="T52" s="4">
        <f t="shared" si="22"/>
        <v>-99</v>
      </c>
      <c r="U52" s="4">
        <f t="shared" si="19"/>
        <v>-99</v>
      </c>
      <c r="V52" s="7">
        <f t="shared" si="20"/>
        <v>-99</v>
      </c>
      <c r="W52" s="6">
        <f t="shared" si="23"/>
        <v>1.2589254117941656E-10</v>
      </c>
      <c r="X52" s="4">
        <f t="shared" si="23"/>
        <v>1.2589254117941656E-10</v>
      </c>
      <c r="Y52" s="4">
        <f t="shared" si="23"/>
        <v>1.2589254117941656E-10</v>
      </c>
      <c r="Z52" s="7">
        <f t="shared" si="23"/>
        <v>1.2589254117941656E-10</v>
      </c>
    </row>
    <row r="53" spans="1:26" ht="12" hidden="1" outlineLevel="1">
      <c r="A53" s="124" t="s">
        <v>185</v>
      </c>
      <c r="B53" s="60"/>
      <c r="C53" s="97">
        <f>IFERROR(VLOOKUP($A53,'Katalog-støjkilder'!$B$135:$F$161,2,FALSE),"")</f>
        <v>0</v>
      </c>
      <c r="D53" s="97">
        <f>IFERROR(VLOOKUP($A53,'Katalog-støjkilder'!$B$135:$F$161,3,FALSE),"")</f>
        <v>0</v>
      </c>
      <c r="E53" s="72">
        <f>IFERROR(VLOOKUP($A53,'Katalog-støjkilder'!$B$135:$F$161,4,FALSE),"")</f>
        <v>0</v>
      </c>
      <c r="F53" s="57"/>
      <c r="G53" s="54"/>
      <c r="H53" s="58"/>
      <c r="I53" s="54">
        <f t="shared" si="16"/>
        <v>0</v>
      </c>
      <c r="J53" s="58"/>
      <c r="K53" s="54">
        <f t="shared" si="17"/>
        <v>0</v>
      </c>
      <c r="L53" s="58"/>
      <c r="M53" s="59">
        <f t="shared" si="18"/>
        <v>0</v>
      </c>
      <c r="O53" s="6">
        <f t="shared" si="10"/>
        <v>-99</v>
      </c>
      <c r="P53" s="4">
        <f t="shared" si="11"/>
        <v>-99</v>
      </c>
      <c r="Q53" s="4">
        <f t="shared" si="12"/>
        <v>-99</v>
      </c>
      <c r="R53" s="7">
        <f t="shared" si="13"/>
        <v>-99</v>
      </c>
      <c r="S53" s="6">
        <f t="shared" si="21"/>
        <v>-99</v>
      </c>
      <c r="T53" s="4">
        <f t="shared" si="22"/>
        <v>-99</v>
      </c>
      <c r="U53" s="4">
        <f t="shared" si="19"/>
        <v>-99</v>
      </c>
      <c r="V53" s="7">
        <f t="shared" si="20"/>
        <v>-99</v>
      </c>
      <c r="W53" s="6">
        <f t="shared" si="23"/>
        <v>1.2589254117941656E-10</v>
      </c>
      <c r="X53" s="4">
        <f t="shared" si="23"/>
        <v>1.2589254117941656E-10</v>
      </c>
      <c r="Y53" s="4">
        <f t="shared" si="23"/>
        <v>1.2589254117941656E-10</v>
      </c>
      <c r="Z53" s="7">
        <f t="shared" si="23"/>
        <v>1.2589254117941656E-10</v>
      </c>
    </row>
    <row r="54" spans="1:26" hidden="1" outlineLevel="1">
      <c r="A54" s="164" t="s">
        <v>194</v>
      </c>
      <c r="B54" s="165"/>
      <c r="C54" s="165"/>
      <c r="D54" s="165"/>
      <c r="E54" s="165"/>
      <c r="F54" s="165"/>
      <c r="G54" s="165"/>
      <c r="H54" s="165"/>
      <c r="I54" s="165"/>
      <c r="J54" s="165"/>
      <c r="K54" s="165"/>
      <c r="L54" s="165"/>
      <c r="M54" s="166"/>
      <c r="O54" s="6">
        <f t="shared" si="10"/>
        <v>-99</v>
      </c>
      <c r="P54" s="4">
        <f t="shared" si="11"/>
        <v>-99</v>
      </c>
      <c r="Q54" s="4">
        <f t="shared" si="12"/>
        <v>-99</v>
      </c>
      <c r="R54" s="7">
        <f t="shared" si="13"/>
        <v>-99</v>
      </c>
      <c r="S54" s="6">
        <f t="shared" si="21"/>
        <v>-99</v>
      </c>
      <c r="T54" s="4">
        <f t="shared" si="22"/>
        <v>-99</v>
      </c>
      <c r="U54" s="4">
        <f t="shared" si="19"/>
        <v>-99</v>
      </c>
      <c r="V54" s="7">
        <f t="shared" si="20"/>
        <v>-99</v>
      </c>
      <c r="W54" s="6">
        <f t="shared" si="23"/>
        <v>1.2589254117941656E-10</v>
      </c>
      <c r="X54" s="4">
        <f t="shared" si="23"/>
        <v>1.2589254117941656E-10</v>
      </c>
      <c r="Y54" s="4">
        <f t="shared" si="23"/>
        <v>1.2589254117941656E-10</v>
      </c>
      <c r="Z54" s="7">
        <f t="shared" si="23"/>
        <v>1.2589254117941656E-10</v>
      </c>
    </row>
    <row r="55" spans="1:26" ht="12" hidden="1" outlineLevel="1">
      <c r="A55" s="124" t="s">
        <v>185</v>
      </c>
      <c r="B55" s="60"/>
      <c r="C55" s="97">
        <f>IFERROR(VLOOKUP($A55,'Katalog-støjkilder'!$B$163:$F$186,2,FALSE),"")</f>
        <v>0</v>
      </c>
      <c r="D55" s="97">
        <f>IFERROR(VLOOKUP($A55,'Katalog-støjkilder'!$B$163:$F$186,3,FALSE),"")</f>
        <v>0</v>
      </c>
      <c r="E55" s="111">
        <f>IFERROR(VLOOKUP($A55,'Katalog-støjkilder'!$B$163:$F$186,4,FALSE),"")</f>
        <v>0</v>
      </c>
      <c r="F55" s="57"/>
      <c r="G55" s="54">
        <f t="shared" si="15"/>
        <v>0</v>
      </c>
      <c r="H55" s="58"/>
      <c r="I55" s="54">
        <f t="shared" si="16"/>
        <v>0</v>
      </c>
      <c r="J55" s="58"/>
      <c r="K55" s="54">
        <f t="shared" si="17"/>
        <v>0</v>
      </c>
      <c r="L55" s="58"/>
      <c r="M55" s="59">
        <f t="shared" si="18"/>
        <v>0</v>
      </c>
      <c r="O55" s="6">
        <f t="shared" si="10"/>
        <v>-99</v>
      </c>
      <c r="P55" s="4">
        <f t="shared" si="11"/>
        <v>-99</v>
      </c>
      <c r="Q55" s="4">
        <f t="shared" si="12"/>
        <v>-99</v>
      </c>
      <c r="R55" s="7">
        <f t="shared" si="13"/>
        <v>-99</v>
      </c>
      <c r="S55" s="6">
        <f t="shared" si="21"/>
        <v>-99</v>
      </c>
      <c r="T55" s="4">
        <f t="shared" si="22"/>
        <v>-99</v>
      </c>
      <c r="U55" s="4">
        <f t="shared" si="19"/>
        <v>-99</v>
      </c>
      <c r="V55" s="7">
        <f t="shared" si="20"/>
        <v>-99</v>
      </c>
      <c r="W55" s="6">
        <f t="shared" si="23"/>
        <v>1.2589254117941656E-10</v>
      </c>
      <c r="X55" s="4">
        <f t="shared" si="23"/>
        <v>1.2589254117941656E-10</v>
      </c>
      <c r="Y55" s="4">
        <f t="shared" si="23"/>
        <v>1.2589254117941656E-10</v>
      </c>
      <c r="Z55" s="7">
        <f t="shared" si="23"/>
        <v>1.2589254117941656E-10</v>
      </c>
    </row>
    <row r="56" spans="1:26" ht="12" hidden="1" outlineLevel="1">
      <c r="A56" s="124" t="s">
        <v>185</v>
      </c>
      <c r="B56" s="60"/>
      <c r="C56" s="97">
        <f>IFERROR(VLOOKUP($A56,'Katalog-støjkilder'!$B$163:$F$186,2,FALSE),"")</f>
        <v>0</v>
      </c>
      <c r="D56" s="97">
        <f>IFERROR(VLOOKUP($A56,'Katalog-støjkilder'!$B$163:$F$186,3,FALSE),"")</f>
        <v>0</v>
      </c>
      <c r="E56" s="111">
        <f>IFERROR(VLOOKUP($A56,'Katalog-støjkilder'!$B$163:$F$186,4,FALSE),"")</f>
        <v>0</v>
      </c>
      <c r="F56" s="57"/>
      <c r="G56" s="54">
        <f t="shared" si="15"/>
        <v>0</v>
      </c>
      <c r="H56" s="58"/>
      <c r="I56" s="54">
        <f t="shared" si="16"/>
        <v>0</v>
      </c>
      <c r="J56" s="58"/>
      <c r="K56" s="54">
        <f t="shared" si="17"/>
        <v>0</v>
      </c>
      <c r="L56" s="58"/>
      <c r="M56" s="59">
        <f t="shared" si="18"/>
        <v>0</v>
      </c>
      <c r="O56" s="6">
        <f t="shared" si="10"/>
        <v>-99</v>
      </c>
      <c r="P56" s="4">
        <f t="shared" si="11"/>
        <v>-99</v>
      </c>
      <c r="Q56" s="4">
        <f t="shared" si="12"/>
        <v>-99</v>
      </c>
      <c r="R56" s="7">
        <f t="shared" si="13"/>
        <v>-99</v>
      </c>
      <c r="S56" s="6">
        <f t="shared" si="21"/>
        <v>-99</v>
      </c>
      <c r="T56" s="4">
        <f t="shared" si="22"/>
        <v>-99</v>
      </c>
      <c r="U56" s="4">
        <f t="shared" si="19"/>
        <v>-99</v>
      </c>
      <c r="V56" s="7">
        <f t="shared" si="20"/>
        <v>-99</v>
      </c>
      <c r="W56" s="6">
        <f t="shared" si="23"/>
        <v>1.2589254117941656E-10</v>
      </c>
      <c r="X56" s="4">
        <f t="shared" si="23"/>
        <v>1.2589254117941656E-10</v>
      </c>
      <c r="Y56" s="4">
        <f t="shared" si="23"/>
        <v>1.2589254117941656E-10</v>
      </c>
      <c r="Z56" s="7">
        <f t="shared" si="23"/>
        <v>1.2589254117941656E-10</v>
      </c>
    </row>
    <row r="57" spans="1:26" ht="12" hidden="1" outlineLevel="1">
      <c r="A57" s="124" t="s">
        <v>185</v>
      </c>
      <c r="B57" s="60"/>
      <c r="C57" s="97">
        <f>IFERROR(VLOOKUP($A57,'Katalog-støjkilder'!$B$163:$F$186,2,FALSE),"")</f>
        <v>0</v>
      </c>
      <c r="D57" s="97">
        <f>IFERROR(VLOOKUP($A57,'Katalog-støjkilder'!$B$163:$F$186,3,FALSE),"")</f>
        <v>0</v>
      </c>
      <c r="E57" s="111">
        <f>IFERROR(VLOOKUP($A57,'Katalog-støjkilder'!$B$163:$F$186,4,FALSE),"")</f>
        <v>0</v>
      </c>
      <c r="F57" s="57"/>
      <c r="G57" s="54">
        <f t="shared" si="15"/>
        <v>0</v>
      </c>
      <c r="H57" s="58"/>
      <c r="I57" s="54">
        <f t="shared" si="16"/>
        <v>0</v>
      </c>
      <c r="J57" s="58"/>
      <c r="K57" s="54">
        <f t="shared" si="17"/>
        <v>0</v>
      </c>
      <c r="L57" s="58"/>
      <c r="M57" s="59">
        <f t="shared" si="18"/>
        <v>0</v>
      </c>
      <c r="O57" s="6">
        <f t="shared" si="10"/>
        <v>-99</v>
      </c>
      <c r="P57" s="4">
        <f t="shared" si="11"/>
        <v>-99</v>
      </c>
      <c r="Q57" s="4">
        <f t="shared" si="12"/>
        <v>-99</v>
      </c>
      <c r="R57" s="7">
        <f t="shared" si="13"/>
        <v>-99</v>
      </c>
      <c r="S57" s="6">
        <f t="shared" si="21"/>
        <v>-99</v>
      </c>
      <c r="T57" s="4">
        <f t="shared" si="22"/>
        <v>-99</v>
      </c>
      <c r="U57" s="4">
        <f t="shared" si="19"/>
        <v>-99</v>
      </c>
      <c r="V57" s="7">
        <f t="shared" si="20"/>
        <v>-99</v>
      </c>
      <c r="W57" s="6">
        <f t="shared" si="23"/>
        <v>1.2589254117941656E-10</v>
      </c>
      <c r="X57" s="4">
        <f t="shared" si="23"/>
        <v>1.2589254117941656E-10</v>
      </c>
      <c r="Y57" s="4">
        <f t="shared" si="23"/>
        <v>1.2589254117941656E-10</v>
      </c>
      <c r="Z57" s="7">
        <f t="shared" si="23"/>
        <v>1.2589254117941656E-10</v>
      </c>
    </row>
    <row r="58" spans="1:26" hidden="1" outlineLevel="1">
      <c r="A58" s="164" t="s">
        <v>318</v>
      </c>
      <c r="B58" s="165"/>
      <c r="C58" s="165"/>
      <c r="D58" s="165"/>
      <c r="E58" s="165"/>
      <c r="F58" s="165"/>
      <c r="G58" s="165"/>
      <c r="H58" s="165"/>
      <c r="I58" s="165"/>
      <c r="J58" s="165"/>
      <c r="K58" s="165"/>
      <c r="L58" s="165"/>
      <c r="M58" s="166"/>
      <c r="O58" s="6">
        <f t="shared" si="10"/>
        <v>-99</v>
      </c>
      <c r="P58" s="4">
        <f t="shared" si="11"/>
        <v>-99</v>
      </c>
      <c r="Q58" s="4">
        <f t="shared" si="12"/>
        <v>-99</v>
      </c>
      <c r="R58" s="7">
        <f t="shared" si="13"/>
        <v>-99</v>
      </c>
      <c r="S58" s="6">
        <f t="shared" si="21"/>
        <v>-99</v>
      </c>
      <c r="T58" s="4">
        <f t="shared" si="22"/>
        <v>-99</v>
      </c>
      <c r="U58" s="4">
        <f t="shared" si="19"/>
        <v>-99</v>
      </c>
      <c r="V58" s="7">
        <f t="shared" si="20"/>
        <v>-99</v>
      </c>
      <c r="W58" s="6">
        <f t="shared" si="23"/>
        <v>1.2589254117941656E-10</v>
      </c>
      <c r="X58" s="4">
        <f t="shared" si="23"/>
        <v>1.2589254117941656E-10</v>
      </c>
      <c r="Y58" s="4">
        <f t="shared" si="23"/>
        <v>1.2589254117941656E-10</v>
      </c>
      <c r="Z58" s="7">
        <f t="shared" si="23"/>
        <v>1.2589254117941656E-10</v>
      </c>
    </row>
    <row r="59" spans="1:26" ht="12" hidden="1" outlineLevel="1">
      <c r="A59" s="124" t="s">
        <v>185</v>
      </c>
      <c r="B59" s="60"/>
      <c r="C59" s="97">
        <f>IFERROR(VLOOKUP($A59,'Katalog-støjkilder'!$B$188:$F$194,2,FALSE),"")</f>
        <v>0</v>
      </c>
      <c r="D59" s="97">
        <f>IFERROR(VLOOKUP($A59,'Katalog-støjkilder'!$B$188:$F$194,3,FALSE),"")</f>
        <v>0</v>
      </c>
      <c r="E59" s="111">
        <f>IFERROR(VLOOKUP($A59,'Katalog-støjkilder'!$B$188:$F$194,4,FALSE),"")</f>
        <v>0</v>
      </c>
      <c r="F59" s="57"/>
      <c r="G59" s="54">
        <f t="shared" si="15"/>
        <v>0</v>
      </c>
      <c r="H59" s="58"/>
      <c r="I59" s="54">
        <f t="shared" si="16"/>
        <v>0</v>
      </c>
      <c r="J59" s="58"/>
      <c r="K59" s="54">
        <f t="shared" si="17"/>
        <v>0</v>
      </c>
      <c r="L59" s="58"/>
      <c r="M59" s="59">
        <f t="shared" si="18"/>
        <v>0</v>
      </c>
      <c r="O59" s="6">
        <f t="shared" si="10"/>
        <v>-99</v>
      </c>
      <c r="P59" s="4">
        <f t="shared" si="11"/>
        <v>-99</v>
      </c>
      <c r="Q59" s="4">
        <f t="shared" si="12"/>
        <v>-99</v>
      </c>
      <c r="R59" s="7">
        <f t="shared" si="13"/>
        <v>-99</v>
      </c>
      <c r="S59" s="6">
        <f t="shared" si="21"/>
        <v>-99</v>
      </c>
      <c r="T59" s="4">
        <f t="shared" si="22"/>
        <v>-99</v>
      </c>
      <c r="U59" s="4">
        <f t="shared" si="19"/>
        <v>-99</v>
      </c>
      <c r="V59" s="7">
        <f t="shared" si="20"/>
        <v>-99</v>
      </c>
      <c r="W59" s="6">
        <f t="shared" si="23"/>
        <v>1.2589254117941656E-10</v>
      </c>
      <c r="X59" s="4">
        <f t="shared" si="23"/>
        <v>1.2589254117941656E-10</v>
      </c>
      <c r="Y59" s="4">
        <f t="shared" si="23"/>
        <v>1.2589254117941656E-10</v>
      </c>
      <c r="Z59" s="7">
        <f t="shared" si="23"/>
        <v>1.2589254117941656E-10</v>
      </c>
    </row>
    <row r="60" spans="1:26" ht="12" hidden="1" outlineLevel="1">
      <c r="A60" s="124" t="s">
        <v>185</v>
      </c>
      <c r="B60" s="60"/>
      <c r="C60" s="97">
        <f>IFERROR(VLOOKUP($A60,'Katalog-støjkilder'!$B$188:$F$194,2,FALSE),"")</f>
        <v>0</v>
      </c>
      <c r="D60" s="97">
        <f>IFERROR(VLOOKUP($A60,'Katalog-støjkilder'!$B$188:$F$194,3,FALSE),"")</f>
        <v>0</v>
      </c>
      <c r="E60" s="111">
        <f>IFERROR(VLOOKUP($A60,'Katalog-støjkilder'!$B$188:$F$194,4,FALSE),"")</f>
        <v>0</v>
      </c>
      <c r="F60" s="57"/>
      <c r="G60" s="54">
        <f t="shared" si="15"/>
        <v>0</v>
      </c>
      <c r="H60" s="58"/>
      <c r="I60" s="54">
        <f t="shared" si="16"/>
        <v>0</v>
      </c>
      <c r="J60" s="58"/>
      <c r="K60" s="54">
        <f t="shared" si="17"/>
        <v>0</v>
      </c>
      <c r="L60" s="58"/>
      <c r="M60" s="59">
        <f t="shared" si="18"/>
        <v>0</v>
      </c>
      <c r="O60" s="6">
        <f t="shared" si="10"/>
        <v>-99</v>
      </c>
      <c r="P60" s="4">
        <f t="shared" si="11"/>
        <v>-99</v>
      </c>
      <c r="Q60" s="4">
        <f t="shared" si="12"/>
        <v>-99</v>
      </c>
      <c r="R60" s="7">
        <f t="shared" si="13"/>
        <v>-99</v>
      </c>
      <c r="S60" s="6">
        <f t="shared" si="21"/>
        <v>-99</v>
      </c>
      <c r="T60" s="4">
        <f t="shared" si="22"/>
        <v>-99</v>
      </c>
      <c r="U60" s="4">
        <f t="shared" si="19"/>
        <v>-99</v>
      </c>
      <c r="V60" s="7">
        <f t="shared" si="20"/>
        <v>-99</v>
      </c>
      <c r="W60" s="6">
        <f t="shared" si="23"/>
        <v>1.2589254117941656E-10</v>
      </c>
      <c r="X60" s="4">
        <f t="shared" si="23"/>
        <v>1.2589254117941656E-10</v>
      </c>
      <c r="Y60" s="4">
        <f t="shared" si="23"/>
        <v>1.2589254117941656E-10</v>
      </c>
      <c r="Z60" s="7">
        <f t="shared" si="23"/>
        <v>1.2589254117941656E-10</v>
      </c>
    </row>
    <row r="61" spans="1:26" hidden="1" outlineLevel="1">
      <c r="F61" s="59" t="s">
        <v>218</v>
      </c>
      <c r="G61" s="54">
        <f>SUM(G32:G60)</f>
        <v>0</v>
      </c>
      <c r="H61" s="59" t="s">
        <v>218</v>
      </c>
      <c r="I61" s="54">
        <f>SUM(I32:I60)</f>
        <v>0</v>
      </c>
      <c r="J61" s="59" t="s">
        <v>218</v>
      </c>
      <c r="K61" s="54">
        <f>SUM(K32:K60)</f>
        <v>0</v>
      </c>
      <c r="L61" s="59" t="s">
        <v>218</v>
      </c>
      <c r="M61" s="59">
        <f>SUM(M32:M60)</f>
        <v>0</v>
      </c>
    </row>
    <row r="62" spans="1:26" ht="18" collapsed="1">
      <c r="A62" s="154" t="s">
        <v>42</v>
      </c>
      <c r="B62" s="143"/>
      <c r="C62" s="143"/>
      <c r="D62" s="143"/>
      <c r="E62" s="143"/>
      <c r="F62" s="143"/>
      <c r="G62" s="143"/>
      <c r="H62" s="143"/>
      <c r="I62" s="143"/>
      <c r="J62" s="143"/>
      <c r="K62" s="143"/>
      <c r="L62" s="143"/>
      <c r="M62" s="144"/>
    </row>
    <row r="64" spans="1:26" ht="15.75" customHeight="1">
      <c r="A64" s="40" t="s">
        <v>28</v>
      </c>
      <c r="B64" s="41"/>
      <c r="C64" s="11"/>
      <c r="D64" s="11"/>
      <c r="E64" s="12"/>
      <c r="F64" s="170" t="str">
        <f>IF(F13&lt;=0," ",IF(LOG(W64)&lt;0," ",10*LOG(W64)))</f>
        <v xml:space="preserve"> </v>
      </c>
      <c r="G64" s="171"/>
      <c r="H64" s="170" t="str">
        <f>IF(H13&lt;=0," ",IF(LOG(X64)&lt;0," ",10*LOG(X64)))</f>
        <v xml:space="preserve"> </v>
      </c>
      <c r="I64" s="171"/>
      <c r="J64" s="170" t="str">
        <f>IF(J13&lt;=0," ",IF(LOG(Y64)&lt;0," ",10*LOG(Y64)))</f>
        <v xml:space="preserve"> </v>
      </c>
      <c r="K64" s="171"/>
      <c r="L64" s="172" t="str">
        <f>IF(L13&lt;=0," ",IF(LOG(Z64)&lt;0," ",10*LOG(Z64)))</f>
        <v xml:space="preserve"> </v>
      </c>
      <c r="M64" s="170"/>
      <c r="W64" s="50">
        <f>SUM(W22:W26)</f>
        <v>6.2946270589708282E-10</v>
      </c>
      <c r="X64" s="51">
        <f>SUM(X22:X26)</f>
        <v>6.2946270589708282E-10</v>
      </c>
      <c r="Y64" s="51">
        <f>SUM(Y22:Y26)</f>
        <v>6.2946270589708282E-10</v>
      </c>
      <c r="Z64" s="52">
        <f>SUM(Z22:Z26)</f>
        <v>6.2946270589708282E-10</v>
      </c>
    </row>
    <row r="65" spans="1:26" ht="9.75" customHeight="1">
      <c r="A65" s="2"/>
      <c r="B65" s="2"/>
      <c r="F65" s="19"/>
      <c r="G65" s="19"/>
      <c r="H65" s="19"/>
      <c r="I65" s="19"/>
      <c r="J65" s="19"/>
      <c r="K65" s="19"/>
      <c r="L65" s="19"/>
      <c r="M65" s="19"/>
      <c r="W65" s="6"/>
      <c r="X65" s="4"/>
      <c r="Y65" s="4"/>
      <c r="Z65" s="7"/>
    </row>
    <row r="66" spans="1:26" ht="15.75" customHeight="1">
      <c r="A66" s="40" t="s">
        <v>29</v>
      </c>
      <c r="B66" s="41"/>
      <c r="C66" s="11"/>
      <c r="D66" s="11"/>
      <c r="E66" s="12"/>
      <c r="F66" s="170" t="str">
        <f>IF(F14&lt;=0," ",IF(LOG(W66)&lt;0," ",10*LOG(W66)))</f>
        <v xml:space="preserve"> </v>
      </c>
      <c r="G66" s="171"/>
      <c r="H66" s="170" t="str">
        <f>IF(H14&lt;=0," ",IF(LOG(X66)&lt;0," ",10*LOG(X66)))</f>
        <v xml:space="preserve"> </v>
      </c>
      <c r="I66" s="171"/>
      <c r="J66" s="170" t="str">
        <f>IF(J14&lt;=0," ",IF(LOG(Y66)&lt;0," ",10*LOG(Y66)))</f>
        <v xml:space="preserve"> </v>
      </c>
      <c r="K66" s="171"/>
      <c r="L66" s="172" t="str">
        <f>IF(L14&lt;=0," ",IF(LOG(Z66)&lt;0," ",10*LOG(Z66)))</f>
        <v xml:space="preserve"> </v>
      </c>
      <c r="M66" s="170"/>
      <c r="W66" s="6">
        <f>SUM(W30:W60)</f>
        <v>3.7767762353824947E-9</v>
      </c>
      <c r="X66" s="4">
        <f>SUM(X30:X60)</f>
        <v>3.7767762353824947E-9</v>
      </c>
      <c r="Y66" s="4">
        <f>SUM(Y30:Y60)</f>
        <v>3.7767762353824947E-9</v>
      </c>
      <c r="Z66" s="7">
        <f>SUM(Z30:Z60)</f>
        <v>3.7767762353824947E-9</v>
      </c>
    </row>
    <row r="67" spans="1:26" ht="9.75" customHeight="1">
      <c r="A67" s="2"/>
      <c r="B67" s="2"/>
      <c r="F67" s="19"/>
      <c r="G67" s="19"/>
      <c r="H67" s="19"/>
      <c r="I67" s="19"/>
      <c r="J67" s="19"/>
      <c r="K67" s="19"/>
      <c r="L67" s="19"/>
      <c r="M67" s="19"/>
      <c r="W67" s="6"/>
      <c r="X67" s="4"/>
      <c r="Y67" s="4"/>
      <c r="Z67" s="7"/>
    </row>
    <row r="68" spans="1:26" ht="15.75" customHeight="1">
      <c r="A68" s="40" t="s">
        <v>30</v>
      </c>
      <c r="B68" s="41"/>
      <c r="C68" s="11"/>
      <c r="D68" s="11"/>
      <c r="E68" s="12"/>
      <c r="F68" s="170" t="str">
        <f>IF(10*LOG(W68)&lt;0," ",10*LOG(W68))</f>
        <v xml:space="preserve"> </v>
      </c>
      <c r="G68" s="171"/>
      <c r="H68" s="170" t="str">
        <f>IF(10*LOG(X68)&lt;0," ",10*LOG(X68))</f>
        <v xml:space="preserve"> </v>
      </c>
      <c r="I68" s="171"/>
      <c r="J68" s="170" t="str">
        <f>IF(10*LOG(Y68)&lt;0," ",10*LOG(Y68))</f>
        <v xml:space="preserve"> </v>
      </c>
      <c r="K68" s="171"/>
      <c r="L68" s="172" t="str">
        <f>IF(10*LOG(Z68)&lt;0," ",10*LOG(Z68))</f>
        <v xml:space="preserve"> </v>
      </c>
      <c r="M68" s="170"/>
      <c r="W68" s="8">
        <f>W64+W66</f>
        <v>4.4062389412795774E-9</v>
      </c>
      <c r="X68" s="18">
        <f>X64+X66</f>
        <v>4.4062389412795774E-9</v>
      </c>
      <c r="Y68" s="18">
        <f>Y64+Y66</f>
        <v>4.4062389412795774E-9</v>
      </c>
      <c r="Z68" s="9">
        <f>Z64+Z66</f>
        <v>4.4062389412795774E-9</v>
      </c>
    </row>
    <row r="69" spans="1:26" ht="9.75" customHeight="1">
      <c r="A69" s="2"/>
      <c r="B69" s="2"/>
      <c r="F69" s="2"/>
      <c r="G69" s="2"/>
      <c r="H69" s="2"/>
      <c r="I69" s="2"/>
      <c r="J69" s="2"/>
      <c r="K69" s="2"/>
      <c r="L69" s="2"/>
      <c r="M69" s="2"/>
    </row>
    <row r="70" spans="1:26" ht="15.75" customHeight="1">
      <c r="A70" s="40" t="s">
        <v>31</v>
      </c>
      <c r="B70" s="41"/>
      <c r="C70" s="11"/>
      <c r="D70" s="11"/>
      <c r="E70" s="12"/>
      <c r="F70" s="180">
        <f>IF($K$8&lt;=1,5,0)</f>
        <v>5</v>
      </c>
      <c r="G70" s="181"/>
      <c r="H70" s="180">
        <f>IF($K$8&lt;=1,5,0)</f>
        <v>5</v>
      </c>
      <c r="I70" s="181"/>
      <c r="J70" s="180">
        <f>IF($K$8&lt;=1,5,0)</f>
        <v>5</v>
      </c>
      <c r="K70" s="181"/>
      <c r="L70" s="182">
        <f>IF($K$8&lt;=1,5,0)</f>
        <v>5</v>
      </c>
      <c r="M70" s="180"/>
    </row>
    <row r="71" spans="1:26" ht="9.75" customHeight="1">
      <c r="A71" s="2"/>
      <c r="B71" s="2"/>
      <c r="F71" s="2"/>
      <c r="G71" s="2"/>
      <c r="H71" s="2"/>
      <c r="I71" s="2"/>
      <c r="J71" s="2"/>
      <c r="K71" s="2"/>
      <c r="L71" s="2"/>
      <c r="M71" s="2"/>
    </row>
    <row r="72" spans="1:26" ht="15.75" customHeight="1">
      <c r="A72" s="173" t="s">
        <v>221</v>
      </c>
      <c r="B72" s="143"/>
      <c r="C72" s="143"/>
      <c r="D72" s="143"/>
      <c r="E72" s="144"/>
      <c r="F72" s="174" t="str">
        <f>IF(10*LOG(W68)&lt;0,"",F68+F70)</f>
        <v/>
      </c>
      <c r="G72" s="175"/>
      <c r="H72" s="174" t="str">
        <f>IF(10*LOG(X68)&lt;0,"",H68+H70)</f>
        <v/>
      </c>
      <c r="I72" s="175"/>
      <c r="J72" s="174" t="str">
        <f>IF(10*LOG(Y68)&lt;0,"",J68+J70)</f>
        <v/>
      </c>
      <c r="K72" s="175"/>
      <c r="L72" s="176" t="str">
        <f>IF(10*LOG(Z68)&lt;0,"",L68+L70)</f>
        <v/>
      </c>
      <c r="M72" s="177"/>
      <c r="O72" s="81">
        <f>IF(F72="",0,IFERROR(F72,0))</f>
        <v>0</v>
      </c>
      <c r="P72" s="82">
        <f>IF(H72="",0,IFERROR(H72,0))</f>
        <v>0</v>
      </c>
      <c r="Q72" s="82">
        <f>IF(J72="",0,IFERROR(J72,0))</f>
        <v>0</v>
      </c>
      <c r="R72" s="82">
        <f>IF(L72="",0,IFERROR(L72,0))</f>
        <v>0</v>
      </c>
      <c r="S72" s="81">
        <f>10^(O72/10)</f>
        <v>1</v>
      </c>
      <c r="T72" s="82">
        <f>10^(Q72/10)</f>
        <v>1</v>
      </c>
      <c r="U72" s="82">
        <f>10^(Q72/10)</f>
        <v>1</v>
      </c>
      <c r="V72" s="83">
        <f>10^(R72/10)</f>
        <v>1</v>
      </c>
      <c r="W72" s="83">
        <f>SUM(S72:V72)</f>
        <v>4</v>
      </c>
    </row>
    <row r="73" spans="1:26" ht="15.75" customHeight="1">
      <c r="A73" s="173" t="s">
        <v>216</v>
      </c>
      <c r="B73" s="143"/>
      <c r="C73" s="143"/>
      <c r="D73" s="143"/>
      <c r="E73" s="144"/>
      <c r="F73" s="178">
        <f>IFERROR(O73,"")</f>
        <v>6.0205999132796242</v>
      </c>
      <c r="G73" s="179"/>
      <c r="H73" s="179"/>
      <c r="I73" s="179"/>
      <c r="J73" s="179"/>
      <c r="K73" s="179"/>
      <c r="L73" s="179"/>
      <c r="M73" s="176"/>
      <c r="O73" s="84">
        <f>10*LOG(W72)</f>
        <v>6.0205999132796242</v>
      </c>
      <c r="S73" s="80" t="s">
        <v>217</v>
      </c>
    </row>
    <row r="74" spans="1:26" ht="15.75" customHeight="1">
      <c r="A74" s="40" t="s">
        <v>32</v>
      </c>
      <c r="B74" s="41"/>
      <c r="C74" s="11"/>
      <c r="D74" s="11"/>
      <c r="E74" s="12"/>
      <c r="F74" s="170" t="str">
        <f>IF(S74&lt;0," ",S74)</f>
        <v xml:space="preserve"> </v>
      </c>
      <c r="G74" s="171"/>
      <c r="H74" s="170" t="str">
        <f>IF(T74&lt;0," ",T74)</f>
        <v xml:space="preserve"> </v>
      </c>
      <c r="I74" s="171"/>
      <c r="J74" s="170" t="str">
        <f>IF(U74&lt;0," ",U74)</f>
        <v xml:space="preserve"> </v>
      </c>
      <c r="K74" s="171"/>
      <c r="L74" s="172" t="str">
        <f>IF(V74&lt;0," ",V74)</f>
        <v xml:space="preserve"> </v>
      </c>
      <c r="M74" s="170"/>
      <c r="S74" s="50">
        <f>MAX(S22:S26)</f>
        <v>-99</v>
      </c>
      <c r="T74" s="51">
        <f>MAX(T22:T26)</f>
        <v>-99</v>
      </c>
      <c r="U74" s="51">
        <f>MAX(U22:U26)</f>
        <v>-99</v>
      </c>
      <c r="V74" s="52">
        <f>MAX(V22:V26)</f>
        <v>-99</v>
      </c>
    </row>
    <row r="75" spans="1:26" ht="9.75" customHeight="1">
      <c r="A75" s="2"/>
      <c r="B75" s="2"/>
      <c r="F75" s="19"/>
      <c r="G75" s="19"/>
      <c r="H75" s="19"/>
      <c r="I75" s="19"/>
      <c r="J75" s="19"/>
      <c r="K75" s="19"/>
      <c r="L75" s="19"/>
      <c r="M75" s="19"/>
      <c r="S75" s="6"/>
      <c r="T75" s="4"/>
      <c r="U75" s="4"/>
      <c r="V75" s="7"/>
    </row>
    <row r="76" spans="1:26" ht="15.75" customHeight="1">
      <c r="A76" s="40" t="s">
        <v>33</v>
      </c>
      <c r="B76" s="41"/>
      <c r="C76" s="11"/>
      <c r="D76" s="11"/>
      <c r="E76" s="12"/>
      <c r="F76" s="170" t="str">
        <f>IF(S76&lt;0," ",S76)</f>
        <v xml:space="preserve"> </v>
      </c>
      <c r="G76" s="171"/>
      <c r="H76" s="170" t="str">
        <f>IF(T76&lt;0," ",T76)</f>
        <v xml:space="preserve"> </v>
      </c>
      <c r="I76" s="171"/>
      <c r="J76" s="170" t="str">
        <f>IF(U76&lt;0," ",U76)</f>
        <v xml:space="preserve"> </v>
      </c>
      <c r="K76" s="171"/>
      <c r="L76" s="172" t="str">
        <f>IF(V76&lt;0," ",V76)</f>
        <v xml:space="preserve"> </v>
      </c>
      <c r="M76" s="170"/>
      <c r="S76" s="8">
        <f>MAX(S30:S60)</f>
        <v>-99</v>
      </c>
      <c r="T76" s="18">
        <f>MAX(T30:T60)</f>
        <v>-99</v>
      </c>
      <c r="U76" s="18">
        <f>MAX(U30:U60)</f>
        <v>-99</v>
      </c>
      <c r="V76" s="9">
        <f>MAX(V30:V60)</f>
        <v>-99</v>
      </c>
    </row>
    <row r="77" spans="1:26" ht="9.75" customHeight="1">
      <c r="A77" s="2"/>
      <c r="B77" s="2"/>
      <c r="F77" s="2"/>
      <c r="G77" s="2"/>
      <c r="H77" s="2"/>
      <c r="I77" s="2"/>
      <c r="J77" s="2"/>
      <c r="K77" s="2"/>
      <c r="L77" s="2"/>
      <c r="M77" s="2"/>
    </row>
    <row r="78" spans="1:26" ht="15.75" customHeight="1">
      <c r="A78" s="20" t="s">
        <v>34</v>
      </c>
      <c r="B78" s="21"/>
      <c r="C78" s="22"/>
      <c r="D78" s="22"/>
      <c r="E78" s="23"/>
      <c r="F78" s="174" t="str">
        <f>IF(MAX(F74:G76)=0," ",MAX(F74:G76))</f>
        <v xml:space="preserve"> </v>
      </c>
      <c r="G78" s="175"/>
      <c r="H78" s="174" t="str">
        <f>IF(MAX(H74:I76)=0," ",MAX(H74:I76))</f>
        <v xml:space="preserve"> </v>
      </c>
      <c r="I78" s="175"/>
      <c r="J78" s="174" t="str">
        <f>IF(MAX(J74:K76)=0," ",MAX(J74:K76))</f>
        <v xml:space="preserve"> </v>
      </c>
      <c r="K78" s="175"/>
      <c r="L78" s="176" t="str">
        <f>IF(MAX(L74:M76)=0," ",MAX(L74:M76))</f>
        <v xml:space="preserve"> </v>
      </c>
      <c r="M78" s="177"/>
    </row>
    <row r="81" spans="1:1">
      <c r="A81" t="s">
        <v>546</v>
      </c>
    </row>
  </sheetData>
  <sheetProtection sheet="1" objects="1" scenarios="1"/>
  <mergeCells count="105">
    <mergeCell ref="F78:G78"/>
    <mergeCell ref="H78:I78"/>
    <mergeCell ref="J78:K78"/>
    <mergeCell ref="L78:M78"/>
    <mergeCell ref="F74:G74"/>
    <mergeCell ref="H74:I74"/>
    <mergeCell ref="J74:K74"/>
    <mergeCell ref="L74:M74"/>
    <mergeCell ref="F76:G76"/>
    <mergeCell ref="H76:I76"/>
    <mergeCell ref="J76:K76"/>
    <mergeCell ref="L76:M76"/>
    <mergeCell ref="A72:E72"/>
    <mergeCell ref="F72:G72"/>
    <mergeCell ref="H72:I72"/>
    <mergeCell ref="J72:K72"/>
    <mergeCell ref="L72:M72"/>
    <mergeCell ref="A73:E73"/>
    <mergeCell ref="F73:M73"/>
    <mergeCell ref="F68:G68"/>
    <mergeCell ref="H68:I68"/>
    <mergeCell ref="J68:K68"/>
    <mergeCell ref="L68:M68"/>
    <mergeCell ref="F70:G70"/>
    <mergeCell ref="H70:I70"/>
    <mergeCell ref="J70:K70"/>
    <mergeCell ref="L70:M70"/>
    <mergeCell ref="A62:M62"/>
    <mergeCell ref="F64:G64"/>
    <mergeCell ref="H64:I64"/>
    <mergeCell ref="J64:K64"/>
    <mergeCell ref="L64:M64"/>
    <mergeCell ref="F66:G66"/>
    <mergeCell ref="H66:I66"/>
    <mergeCell ref="J66:K66"/>
    <mergeCell ref="L66:M66"/>
    <mergeCell ref="A38:M38"/>
    <mergeCell ref="A42:M42"/>
    <mergeCell ref="A46:M46"/>
    <mergeCell ref="A50:M50"/>
    <mergeCell ref="A54:M54"/>
    <mergeCell ref="A58:M58"/>
    <mergeCell ref="F28:M28"/>
    <mergeCell ref="O28:R28"/>
    <mergeCell ref="S28:V28"/>
    <mergeCell ref="A29:M29"/>
    <mergeCell ref="A33:M33"/>
    <mergeCell ref="A34:M34"/>
    <mergeCell ref="F25:G25"/>
    <mergeCell ref="H25:I25"/>
    <mergeCell ref="J25:K25"/>
    <mergeCell ref="L25:M25"/>
    <mergeCell ref="F26:G26"/>
    <mergeCell ref="H26:I26"/>
    <mergeCell ref="J26:K26"/>
    <mergeCell ref="L26:M26"/>
    <mergeCell ref="F23:G23"/>
    <mergeCell ref="H23:I23"/>
    <mergeCell ref="J23:K23"/>
    <mergeCell ref="L23:M23"/>
    <mergeCell ref="F24:G24"/>
    <mergeCell ref="H24:I24"/>
    <mergeCell ref="J24:K24"/>
    <mergeCell ref="L24:M24"/>
    <mergeCell ref="A20:M20"/>
    <mergeCell ref="F21:M21"/>
    <mergeCell ref="O21:R21"/>
    <mergeCell ref="S21:V21"/>
    <mergeCell ref="F22:G22"/>
    <mergeCell ref="H22:I22"/>
    <mergeCell ref="J22:K22"/>
    <mergeCell ref="L22:M22"/>
    <mergeCell ref="A16:M16"/>
    <mergeCell ref="F17:G17"/>
    <mergeCell ref="H17:I17"/>
    <mergeCell ref="J17:K17"/>
    <mergeCell ref="L17:M17"/>
    <mergeCell ref="F18:G18"/>
    <mergeCell ref="H18:I18"/>
    <mergeCell ref="J18:K18"/>
    <mergeCell ref="L18:M18"/>
    <mergeCell ref="A12:M12"/>
    <mergeCell ref="F13:G13"/>
    <mergeCell ref="H13:I13"/>
    <mergeCell ref="J13:K13"/>
    <mergeCell ref="L13:M13"/>
    <mergeCell ref="O13:T14"/>
    <mergeCell ref="F14:G14"/>
    <mergeCell ref="H14:I14"/>
    <mergeCell ref="J14:K14"/>
    <mergeCell ref="L14:M14"/>
    <mergeCell ref="A6:B6"/>
    <mergeCell ref="A8:B8"/>
    <mergeCell ref="F10:G10"/>
    <mergeCell ref="H10:I10"/>
    <mergeCell ref="J10:K10"/>
    <mergeCell ref="L10:M10"/>
    <mergeCell ref="A3:B3"/>
    <mergeCell ref="C3:H3"/>
    <mergeCell ref="I3:K3"/>
    <mergeCell ref="L3:M3"/>
    <mergeCell ref="A4:B4"/>
    <mergeCell ref="C4:H4"/>
    <mergeCell ref="I4:K4"/>
    <mergeCell ref="L4:M4"/>
  </mergeCells>
  <conditionalFormatting sqref="G43:G45 G47:G49 G55:G57 G59:G60 G35:G37 G39:G41 G51:G53">
    <cfRule type="cellIs" dxfId="41" priority="21" operator="equal">
      <formula>0</formula>
    </cfRule>
  </conditionalFormatting>
  <conditionalFormatting sqref="I35:I37 I39:I41 I43:I45 I47:I49 I51:I53 I55:I57 I59:I60">
    <cfRule type="cellIs" dxfId="40" priority="20" operator="equal">
      <formula>0</formula>
    </cfRule>
  </conditionalFormatting>
  <conditionalFormatting sqref="K35:K37 K39:K41 K43:K45 K47:K49 K51:K53 K55:K57 K59:K60">
    <cfRule type="cellIs" dxfId="39" priority="19" operator="equal">
      <formula>0</formula>
    </cfRule>
  </conditionalFormatting>
  <conditionalFormatting sqref="M35:M37 M39:M41 M43:M45 M47:M49 M51:M53 M55:M57 M59:M60">
    <cfRule type="cellIs" dxfId="38" priority="18" operator="equal">
      <formula>0</formula>
    </cfRule>
  </conditionalFormatting>
  <conditionalFormatting sqref="C22:D26">
    <cfRule type="cellIs" dxfId="37" priority="17" operator="equal">
      <formula>0</formula>
    </cfRule>
  </conditionalFormatting>
  <conditionalFormatting sqref="C35:E37 C39:E41 C43:E45 C47:E49 C51:E53 C55:E57 C59:E60">
    <cfRule type="cellIs" dxfId="36" priority="16" operator="equal">
      <formula>0</formula>
    </cfRule>
  </conditionalFormatting>
  <conditionalFormatting sqref="F61">
    <cfRule type="cellIs" dxfId="35" priority="15" operator="equal">
      <formula>0</formula>
    </cfRule>
  </conditionalFormatting>
  <conditionalFormatting sqref="G61">
    <cfRule type="cellIs" dxfId="34" priority="14" operator="equal">
      <formula>0</formula>
    </cfRule>
  </conditionalFormatting>
  <conditionalFormatting sqref="I61">
    <cfRule type="cellIs" dxfId="33" priority="13" operator="equal">
      <formula>0</formula>
    </cfRule>
  </conditionalFormatting>
  <conditionalFormatting sqref="K61">
    <cfRule type="cellIs" dxfId="32" priority="12" operator="equal">
      <formula>0</formula>
    </cfRule>
  </conditionalFormatting>
  <conditionalFormatting sqref="I61 K61 G61">
    <cfRule type="cellIs" dxfId="31" priority="11" operator="greaterThan">
      <formula>1</formula>
    </cfRule>
  </conditionalFormatting>
  <conditionalFormatting sqref="H61">
    <cfRule type="cellIs" dxfId="30" priority="10" operator="equal">
      <formula>0</formula>
    </cfRule>
  </conditionalFormatting>
  <conditionalFormatting sqref="J61">
    <cfRule type="cellIs" dxfId="29" priority="9" operator="equal">
      <formula>0</formula>
    </cfRule>
  </conditionalFormatting>
  <conditionalFormatting sqref="L61">
    <cfRule type="cellIs" dxfId="28" priority="8" operator="equal">
      <formula>0</formula>
    </cfRule>
  </conditionalFormatting>
  <conditionalFormatting sqref="G61">
    <cfRule type="cellIs" dxfId="27" priority="7" operator="equal">
      <formula>0</formula>
    </cfRule>
  </conditionalFormatting>
  <conditionalFormatting sqref="M61">
    <cfRule type="cellIs" dxfId="26" priority="6" operator="equal">
      <formula>0</formula>
    </cfRule>
  </conditionalFormatting>
  <conditionalFormatting sqref="G30:G32">
    <cfRule type="cellIs" dxfId="25" priority="5" operator="equal">
      <formula>0</formula>
    </cfRule>
  </conditionalFormatting>
  <conditionalFormatting sqref="I30:I32">
    <cfRule type="cellIs" dxfId="24" priority="4" operator="equal">
      <formula>0</formula>
    </cfRule>
  </conditionalFormatting>
  <conditionalFormatting sqref="M30:M32">
    <cfRule type="cellIs" dxfId="23" priority="3" operator="equal">
      <formula>0</formula>
    </cfRule>
  </conditionalFormatting>
  <conditionalFormatting sqref="C30:E32">
    <cfRule type="cellIs" dxfId="22" priority="2" operator="equal">
      <formula>0</formula>
    </cfRule>
  </conditionalFormatting>
  <conditionalFormatting sqref="K30:K32">
    <cfRule type="cellIs" dxfId="21" priority="1" operator="equal">
      <formula>0</formula>
    </cfRule>
  </conditionalFormatting>
  <dataValidations count="1">
    <dataValidation type="whole" errorStyle="warning" operator="greaterThan" allowBlank="1" showInputMessage="1" showErrorMessage="1" error="Beregningen er meget usikker ved afstande under 10 meter" sqref="F13:M14">
      <formula1>9</formula1>
    </dataValidation>
  </dataValidations>
  <printOptions horizontalCentered="1"/>
  <pageMargins left="0.23622047244094491" right="0.23622047244094491" top="0.35433070866141736" bottom="0.35433070866141736" header="0" footer="0"/>
  <pageSetup paperSize="9" scale="69" orientation="portrait" r:id="rId1"/>
  <headerFooter>
    <oddFooter>&amp;A</oddFooter>
  </headerFooter>
  <ignoredErrors>
    <ignoredError sqref="G30:G32 I30:I32 K30:K32 M30:M32 F70:M70" unlockedFormula="1"/>
  </ignoredError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'Katalog-støjkilder'!$B$94:$B$133</xm:f>
          </x14:formula1>
          <xm:sqref>A47:A49</xm:sqref>
        </x14:dataValidation>
        <x14:dataValidation type="list" allowBlank="1" showInputMessage="1" showErrorMessage="1">
          <x14:formula1>
            <xm:f>'Katalog-støjkilder'!$B$22:$B$55</xm:f>
          </x14:formula1>
          <xm:sqref>A39:A41</xm:sqref>
        </x14:dataValidation>
        <x14:dataValidation type="list" allowBlank="1" showInputMessage="1" showErrorMessage="1">
          <x14:formula1>
            <xm:f>'Katalog-køretøjer'!$B$7:$B$14</xm:f>
          </x14:formula1>
          <xm:sqref>A22</xm:sqref>
        </x14:dataValidation>
        <x14:dataValidation type="list" allowBlank="1" showInputMessage="1" showErrorMessage="1">
          <x14:formula1>
            <xm:f>'Katalog-samlede leverancer'!$B$7:$B$14</xm:f>
          </x14:formula1>
          <xm:sqref>A30:A32</xm:sqref>
        </x14:dataValidation>
        <x14:dataValidation type="list" allowBlank="1" showInputMessage="1" showErrorMessage="1">
          <x14:formula1>
            <xm:f>'Katalog-køretøjer'!$B$7:$B$13</xm:f>
          </x14:formula1>
          <xm:sqref>A23:A26</xm:sqref>
        </x14:dataValidation>
        <x14:dataValidation type="list" allowBlank="1" showInputMessage="1" showErrorMessage="1">
          <x14:formula1>
            <xm:f>Tidsrum!$B$7:$B$12</xm:f>
          </x14:formula1>
          <xm:sqref>A8</xm:sqref>
        </x14:dataValidation>
        <x14:dataValidation type="list" allowBlank="1" showInputMessage="1" showErrorMessage="1">
          <x14:formula1>
            <xm:f>'Katalog-støjkilder'!$B$9:$B$20</xm:f>
          </x14:formula1>
          <xm:sqref>A35:A37</xm:sqref>
        </x14:dataValidation>
        <x14:dataValidation type="list" allowBlank="1" showInputMessage="1" showErrorMessage="1">
          <x14:formula1>
            <xm:f>'Katalog-støjkilder'!$B$57:$B$92</xm:f>
          </x14:formula1>
          <xm:sqref>A43:A45</xm:sqref>
        </x14:dataValidation>
        <x14:dataValidation type="list" allowBlank="1" showInputMessage="1" showErrorMessage="1">
          <x14:formula1>
            <xm:f>'Katalog-støjkilder'!$B$163:$B$186</xm:f>
          </x14:formula1>
          <xm:sqref>A55:A57</xm:sqref>
        </x14:dataValidation>
        <x14:dataValidation type="list" allowBlank="1" showInputMessage="1" showErrorMessage="1">
          <x14:formula1>
            <xm:f>'Katalog-støjkilder'!$B$188:$B$194</xm:f>
          </x14:formula1>
          <xm:sqref>A59:A60</xm:sqref>
        </x14:dataValidation>
        <x14:dataValidation type="list" allowBlank="1" showInputMessage="1" showErrorMessage="1">
          <x14:formula1>
            <xm:f>'Katalog-støjkilder'!$B$135:$B$161</xm:f>
          </x14:formula1>
          <xm:sqref>A51:A53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
  <sheetViews>
    <sheetView showGridLines="0" showRowColHeaders="0" zoomScale="71" zoomScaleNormal="71" workbookViewId="0">
      <selection activeCell="O1" sqref="O1"/>
    </sheetView>
  </sheetViews>
  <sheetFormatPr defaultRowHeight="11.25"/>
  <sheetData/>
  <sheetProtection sheet="1" objects="1" scenarios="1"/>
  <pageMargins left="0.7" right="0.7" top="0.75" bottom="0.75" header="0.3" footer="0.3"/>
  <pageSetup paperSize="9" scale="5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
  <sheetViews>
    <sheetView showGridLines="0" showRowColHeaders="0" zoomScale="71" zoomScaleNormal="71" workbookViewId="0">
      <selection activeCell="O2" sqref="O2"/>
    </sheetView>
  </sheetViews>
  <sheetFormatPr defaultRowHeight="11.25"/>
  <sheetData/>
  <sheetProtection sheet="1" objects="1" scenarios="1"/>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A81"/>
  <sheetViews>
    <sheetView showGridLines="0" showRowColHeaders="0" zoomScaleNormal="100" zoomScaleSheetLayoutView="112" workbookViewId="0">
      <selection activeCell="C3" sqref="C3:H3"/>
    </sheetView>
  </sheetViews>
  <sheetFormatPr defaultRowHeight="11.25" outlineLevelCol="1"/>
  <cols>
    <col min="1" max="1" width="46.125" customWidth="1"/>
    <col min="2" max="2" width="0.75" customWidth="1"/>
    <col min="3" max="3" width="11.625" customWidth="1"/>
    <col min="4" max="4" width="13.25" customWidth="1"/>
    <col min="5" max="5" width="11.25" customWidth="1"/>
    <col min="6" max="13" width="6.75" customWidth="1"/>
    <col min="14" max="14" width="6.75" hidden="1" customWidth="1" outlineLevel="1"/>
    <col min="15" max="26" width="9" hidden="1" customWidth="1" outlineLevel="1"/>
    <col min="27" max="27" width="9" collapsed="1"/>
  </cols>
  <sheetData>
    <row r="1" spans="1:26" ht="15.75" customHeight="1">
      <c r="A1" s="74" t="s">
        <v>35</v>
      </c>
      <c r="M1" s="75" t="str">
        <f>'Beregningsmodel forenklet'!M1</f>
        <v>Miljøstyrelsen, Miljøprojekt nr. 1596 om støjsvag varelevering til butikker, 2014</v>
      </c>
    </row>
    <row r="2" spans="1:26" ht="45.75">
      <c r="A2" s="127" t="str">
        <f>'Beregningsmodel forenklet'!A2</f>
        <v>RUMLE - en enkel beregningsmodel ver. 0</v>
      </c>
      <c r="B2" s="128"/>
      <c r="C2" s="128"/>
      <c r="D2" s="128"/>
      <c r="E2" s="128"/>
      <c r="F2" s="128"/>
      <c r="G2" s="128"/>
      <c r="H2" s="128"/>
      <c r="I2" s="128"/>
      <c r="J2" s="128"/>
      <c r="K2" s="128"/>
      <c r="L2" s="128"/>
      <c r="M2" s="128"/>
    </row>
    <row r="3" spans="1:26" ht="18" customHeight="1">
      <c r="A3" s="131" t="s">
        <v>214</v>
      </c>
      <c r="B3" s="137" t="s">
        <v>190</v>
      </c>
      <c r="C3" s="138"/>
      <c r="D3" s="139"/>
      <c r="E3" s="139"/>
      <c r="F3" s="139"/>
      <c r="G3" s="139"/>
      <c r="H3" s="140"/>
      <c r="I3" s="131" t="s">
        <v>191</v>
      </c>
      <c r="J3" s="132"/>
      <c r="K3" s="137"/>
      <c r="L3" s="141"/>
      <c r="M3" s="142"/>
    </row>
    <row r="4" spans="1:26" ht="18" customHeight="1">
      <c r="A4" s="131" t="s">
        <v>189</v>
      </c>
      <c r="B4" s="137"/>
      <c r="C4" s="138"/>
      <c r="D4" s="139"/>
      <c r="E4" s="139"/>
      <c r="F4" s="139"/>
      <c r="G4" s="139"/>
      <c r="H4" s="140"/>
      <c r="I4" s="131" t="s">
        <v>215</v>
      </c>
      <c r="J4" s="132"/>
      <c r="K4" s="137"/>
      <c r="L4" s="141"/>
      <c r="M4" s="142"/>
    </row>
    <row r="6" spans="1:26" ht="18">
      <c r="A6" s="131" t="s">
        <v>19</v>
      </c>
      <c r="B6" s="132"/>
      <c r="C6" s="11"/>
      <c r="D6" s="11"/>
      <c r="E6" s="11"/>
      <c r="F6" s="11"/>
      <c r="G6" s="11"/>
      <c r="H6" s="11"/>
      <c r="I6" s="11"/>
      <c r="J6" s="11"/>
      <c r="K6" s="11"/>
      <c r="L6" s="11"/>
      <c r="M6" s="12"/>
    </row>
    <row r="7" spans="1:26" s="25" customFormat="1" ht="11.25" customHeight="1">
      <c r="A7" s="24"/>
      <c r="B7" s="16"/>
      <c r="C7" s="16"/>
      <c r="D7" s="16"/>
      <c r="E7" s="16"/>
      <c r="F7" s="16"/>
      <c r="G7" s="16"/>
      <c r="H7" s="16"/>
      <c r="I7" s="16"/>
      <c r="J7" s="16"/>
      <c r="K7" s="16"/>
      <c r="L7" s="16"/>
      <c r="M7" s="16"/>
    </row>
    <row r="8" spans="1:26" s="25" customFormat="1" ht="18">
      <c r="A8" s="133" t="s">
        <v>7</v>
      </c>
      <c r="B8" s="134"/>
      <c r="C8" s="10"/>
      <c r="D8" s="17" t="s">
        <v>36</v>
      </c>
      <c r="E8" s="17"/>
      <c r="F8" s="17"/>
      <c r="G8" s="17"/>
      <c r="H8" s="17"/>
      <c r="I8" s="17"/>
      <c r="J8" s="17"/>
      <c r="K8" s="32">
        <f>VLOOKUP(A8,Tidsrum!B7:C12,2,FALSE)</f>
        <v>0.5</v>
      </c>
      <c r="L8" s="17" t="str">
        <f>IF(K8&lt;=1,"time","timer")</f>
        <v>time</v>
      </c>
      <c r="M8" s="12"/>
    </row>
    <row r="9" spans="1:26" s="25" customFormat="1" ht="11.25" customHeight="1">
      <c r="A9" s="24"/>
      <c r="B9" s="16"/>
      <c r="C9" s="16"/>
      <c r="D9" s="16"/>
      <c r="E9" s="16"/>
    </row>
    <row r="10" spans="1:26" s="25" customFormat="1" ht="18" customHeight="1">
      <c r="A10" s="10" t="s">
        <v>199</v>
      </c>
      <c r="B10" s="11"/>
      <c r="C10" s="11"/>
      <c r="D10" s="11"/>
      <c r="E10" s="12"/>
      <c r="F10" s="135" t="s">
        <v>338</v>
      </c>
      <c r="G10" s="136"/>
      <c r="H10" s="135" t="s">
        <v>339</v>
      </c>
      <c r="I10" s="136"/>
      <c r="J10" s="135" t="s">
        <v>340</v>
      </c>
      <c r="K10" s="136"/>
      <c r="L10" s="136" t="s">
        <v>379</v>
      </c>
      <c r="M10" s="183"/>
    </row>
    <row r="11" spans="1:26" s="25" customFormat="1" ht="11.25" customHeight="1">
      <c r="A11" s="24"/>
      <c r="B11" s="16"/>
      <c r="C11" s="16"/>
      <c r="D11" s="16"/>
      <c r="E11" s="16"/>
      <c r="F11" s="31"/>
      <c r="G11" s="31"/>
      <c r="H11" s="31"/>
      <c r="I11" s="31"/>
      <c r="J11" s="31"/>
      <c r="K11" s="31"/>
      <c r="L11" s="31"/>
      <c r="M11" s="31"/>
      <c r="N11" s="16"/>
    </row>
    <row r="12" spans="1:26" ht="18">
      <c r="A12" s="131" t="s">
        <v>39</v>
      </c>
      <c r="B12" s="143"/>
      <c r="C12" s="143"/>
      <c r="D12" s="143"/>
      <c r="E12" s="143"/>
      <c r="F12" s="143"/>
      <c r="G12" s="143"/>
      <c r="H12" s="143"/>
      <c r="I12" s="143"/>
      <c r="J12" s="143"/>
      <c r="K12" s="143"/>
      <c r="L12" s="143"/>
      <c r="M12" s="144"/>
    </row>
    <row r="13" spans="1:26" s="26" customFormat="1" ht="14.25">
      <c r="A13" s="68" t="s">
        <v>49</v>
      </c>
      <c r="B13" s="69"/>
      <c r="C13" s="69"/>
      <c r="D13" s="69"/>
      <c r="E13" s="70"/>
      <c r="F13" s="145"/>
      <c r="G13" s="146"/>
      <c r="H13" s="145"/>
      <c r="I13" s="146"/>
      <c r="J13" s="145"/>
      <c r="K13" s="146"/>
      <c r="L13" s="146"/>
      <c r="M13" s="147"/>
      <c r="O13" s="148" t="s">
        <v>38</v>
      </c>
      <c r="P13" s="149"/>
      <c r="Q13" s="149"/>
      <c r="R13" s="149"/>
      <c r="S13" s="149"/>
      <c r="T13" s="150"/>
    </row>
    <row r="14" spans="1:26" s="26" customFormat="1" ht="14.25">
      <c r="A14" s="68" t="s">
        <v>51</v>
      </c>
      <c r="B14" s="69"/>
      <c r="C14" s="69"/>
      <c r="D14" s="69"/>
      <c r="E14" s="70"/>
      <c r="F14" s="145"/>
      <c r="G14" s="146"/>
      <c r="H14" s="146"/>
      <c r="I14" s="146"/>
      <c r="J14" s="146"/>
      <c r="K14" s="146"/>
      <c r="L14" s="146"/>
      <c r="M14" s="147"/>
      <c r="O14" s="151"/>
      <c r="P14" s="152"/>
      <c r="Q14" s="152"/>
      <c r="R14" s="152"/>
      <c r="S14" s="152"/>
      <c r="T14" s="153"/>
    </row>
    <row r="15" spans="1:26" s="30" customFormat="1" ht="11.25" customHeight="1">
      <c r="O15" s="48" t="s">
        <v>46</v>
      </c>
      <c r="P15" s="49"/>
      <c r="Q15" s="33" t="e">
        <f>10*LOG(F17)</f>
        <v>#NUM!</v>
      </c>
      <c r="R15" s="34" t="e">
        <f>10*LOG(H17)</f>
        <v>#NUM!</v>
      </c>
      <c r="S15" s="34" t="e">
        <f>10*LOG(J17)</f>
        <v>#NUM!</v>
      </c>
      <c r="T15" s="35" t="e">
        <f>10*LOG(L17)</f>
        <v>#NUM!</v>
      </c>
      <c r="V15" s="42" t="s">
        <v>43</v>
      </c>
      <c r="W15" s="43"/>
      <c r="X15" s="43"/>
      <c r="Y15" s="43"/>
      <c r="Z15" s="44"/>
    </row>
    <row r="16" spans="1:26" ht="18">
      <c r="A16" s="154" t="s">
        <v>40</v>
      </c>
      <c r="B16" s="143"/>
      <c r="C16" s="143"/>
      <c r="D16" s="143"/>
      <c r="E16" s="143"/>
      <c r="F16" s="143"/>
      <c r="G16" s="143"/>
      <c r="H16" s="143"/>
      <c r="I16" s="143"/>
      <c r="J16" s="143"/>
      <c r="K16" s="143"/>
      <c r="L16" s="143"/>
      <c r="M16" s="144"/>
      <c r="O16" s="46" t="s">
        <v>45</v>
      </c>
      <c r="P16" s="47"/>
      <c r="Q16" s="46">
        <f>IF(F18/(K8*60)&gt;1,K8*60,F18)</f>
        <v>0</v>
      </c>
      <c r="R16" s="45">
        <f>IF(H18/(K8*60)&gt;1,K8*60,H18)</f>
        <v>0</v>
      </c>
      <c r="S16" s="45">
        <f>IF(J18/(K8*60)&gt;1,K8*60,J18)</f>
        <v>0</v>
      </c>
      <c r="T16" s="47">
        <f>IF(L18/(K8*60)&gt;1,K8*60,L18)</f>
        <v>0</v>
      </c>
      <c r="V16" s="33" t="s">
        <v>0</v>
      </c>
      <c r="W16" s="34" t="b">
        <f>OR(ISBLANK(F13),ISBLANK(F17),ISBLANK(F18))</f>
        <v>1</v>
      </c>
      <c r="X16" s="34" t="b">
        <f>OR(ISBLANK(H13),ISBLANK(H17),ISBLANK(H18))</f>
        <v>1</v>
      </c>
      <c r="Y16" s="34" t="b">
        <f>OR(ISBLANK(J13),ISBLANK(J17),ISBLANK(J18))</f>
        <v>1</v>
      </c>
      <c r="Z16" s="35" t="b">
        <f>OR(ISBLANK(J13),ISBLANK(J17),ISBLANK(J18))</f>
        <v>1</v>
      </c>
    </row>
    <row r="17" spans="1:26" s="26" customFormat="1" ht="14.25" customHeight="1">
      <c r="A17" s="68" t="s">
        <v>50</v>
      </c>
      <c r="B17" s="69"/>
      <c r="C17" s="69"/>
      <c r="D17" s="69">
        <f>K8</f>
        <v>0.5</v>
      </c>
      <c r="E17" s="70" t="str">
        <f>L8</f>
        <v>time</v>
      </c>
      <c r="F17" s="145"/>
      <c r="G17" s="146"/>
      <c r="H17" s="146"/>
      <c r="I17" s="146"/>
      <c r="J17" s="146"/>
      <c r="K17" s="146"/>
      <c r="L17" s="146"/>
      <c r="M17" s="147"/>
      <c r="O17" s="46" t="s">
        <v>47</v>
      </c>
      <c r="P17" s="47"/>
      <c r="Q17" s="46" t="e">
        <f>10*LOG(Q16/($K$8*60))</f>
        <v>#NUM!</v>
      </c>
      <c r="R17" s="45" t="e">
        <f>10*LOG(R16/($K$8*60))</f>
        <v>#NUM!</v>
      </c>
      <c r="S17" s="45" t="e">
        <f>10*LOG(S16/($K$8*60))</f>
        <v>#NUM!</v>
      </c>
      <c r="T17" s="47" t="e">
        <f>10*LOG(T16/($K$8*60))</f>
        <v>#NUM!</v>
      </c>
      <c r="V17" s="36" t="s">
        <v>44</v>
      </c>
      <c r="W17" s="37" t="b">
        <f>OR(ISBLANK(F14),ISBLANK(F17),ISBLANK(F18))</f>
        <v>1</v>
      </c>
      <c r="X17" s="37" t="b">
        <f>OR(ISBLANK(H14),ISBLANK(H17),ISBLANK(H18))</f>
        <v>1</v>
      </c>
      <c r="Y17" s="37" t="b">
        <f>OR(ISBLANK(J14),ISBLANK(J17),ISBLANK(J18))</f>
        <v>1</v>
      </c>
      <c r="Z17" s="38" t="b">
        <f>OR(ISBLANK(J14),ISBLANK(J17),ISBLANK(J18))</f>
        <v>1</v>
      </c>
    </row>
    <row r="18" spans="1:26" s="26" customFormat="1" ht="14.25" customHeight="1">
      <c r="A18" s="68" t="s">
        <v>20</v>
      </c>
      <c r="B18" s="69"/>
      <c r="C18" s="69"/>
      <c r="D18" s="69"/>
      <c r="E18" s="70"/>
      <c r="F18" s="145"/>
      <c r="G18" s="146"/>
      <c r="H18" s="146"/>
      <c r="I18" s="146"/>
      <c r="J18" s="146"/>
      <c r="K18" s="146"/>
      <c r="L18" s="146"/>
      <c r="M18" s="147"/>
      <c r="O18" s="46" t="s">
        <v>54</v>
      </c>
      <c r="P18" s="47"/>
      <c r="Q18" s="46">
        <v>3</v>
      </c>
      <c r="R18" s="45">
        <v>3</v>
      </c>
      <c r="S18" s="45">
        <v>3</v>
      </c>
      <c r="T18" s="47">
        <v>3</v>
      </c>
    </row>
    <row r="19" spans="1:26" s="30" customFormat="1" ht="11.25" customHeight="1">
      <c r="A19" s="27"/>
      <c r="B19" s="28"/>
      <c r="C19" s="28"/>
      <c r="D19" s="28"/>
      <c r="E19" s="28"/>
      <c r="F19" s="29"/>
      <c r="G19" s="29"/>
      <c r="H19" s="29"/>
      <c r="I19" s="29"/>
      <c r="J19" s="29"/>
      <c r="K19" s="29"/>
      <c r="L19" s="29"/>
      <c r="O19" s="36" t="s">
        <v>48</v>
      </c>
      <c r="P19" s="38"/>
      <c r="Q19" s="39" t="e">
        <f>Q15+Q17+Q18</f>
        <v>#NUM!</v>
      </c>
      <c r="R19" s="39" t="e">
        <f>R15+R17+R18</f>
        <v>#NUM!</v>
      </c>
      <c r="S19" s="39" t="e">
        <f>S15+S17+S18</f>
        <v>#NUM!</v>
      </c>
      <c r="T19" s="66" t="e">
        <f>T15+T17+T18</f>
        <v>#NUM!</v>
      </c>
    </row>
    <row r="20" spans="1:26" ht="18">
      <c r="A20" s="154" t="s">
        <v>41</v>
      </c>
      <c r="B20" s="143"/>
      <c r="C20" s="143"/>
      <c r="D20" s="143"/>
      <c r="E20" s="143"/>
      <c r="F20" s="143"/>
      <c r="G20" s="143"/>
      <c r="H20" s="143"/>
      <c r="I20" s="143"/>
      <c r="J20" s="143"/>
      <c r="K20" s="143"/>
      <c r="L20" s="143"/>
      <c r="M20" s="144"/>
    </row>
    <row r="21" spans="1:26" ht="34.5">
      <c r="A21" s="13" t="s">
        <v>13</v>
      </c>
      <c r="B21" s="14"/>
      <c r="C21" s="73" t="s">
        <v>14</v>
      </c>
      <c r="D21" s="15" t="s">
        <v>17</v>
      </c>
      <c r="E21" s="5"/>
      <c r="F21" s="155" t="s">
        <v>18</v>
      </c>
      <c r="G21" s="156"/>
      <c r="H21" s="156"/>
      <c r="I21" s="156"/>
      <c r="J21" s="156"/>
      <c r="K21" s="156"/>
      <c r="L21" s="156"/>
      <c r="M21" s="157"/>
      <c r="O21" s="158" t="s">
        <v>26</v>
      </c>
      <c r="P21" s="159"/>
      <c r="Q21" s="159"/>
      <c r="R21" s="159"/>
      <c r="S21" s="158" t="s">
        <v>27</v>
      </c>
      <c r="T21" s="159"/>
      <c r="U21" s="159"/>
      <c r="V21" s="160"/>
      <c r="W21" s="50"/>
      <c r="X21" s="51"/>
      <c r="Y21" s="51"/>
      <c r="Z21" s="52"/>
    </row>
    <row r="22" spans="1:26" ht="12">
      <c r="A22" s="125" t="s">
        <v>185</v>
      </c>
      <c r="B22" s="60"/>
      <c r="C22" s="71">
        <f>IFERROR(VLOOKUP($A22,'Katalog-køretøjer'!$B$7:$D$14,2,FALSE),"")</f>
        <v>0</v>
      </c>
      <c r="D22" s="71">
        <f>IFERROR(VLOOKUP($A22,'Katalog-køretøjer'!$B$7:$D$14,3,FALSE),"")</f>
        <v>0</v>
      </c>
      <c r="E22" s="1"/>
      <c r="F22" s="161"/>
      <c r="G22" s="162"/>
      <c r="H22" s="162"/>
      <c r="I22" s="162"/>
      <c r="J22" s="162"/>
      <c r="K22" s="162"/>
      <c r="L22" s="162"/>
      <c r="M22" s="163"/>
      <c r="O22" s="85">
        <f>IF(W$16=FALSE,(IF(ISBLANK(F22),-99,$C22-10*LOG(4*PI()*F$13^2)+3+10*LOG((60/(3600*$K$8)))+10*LOG(F$17))),-99)</f>
        <v>-99</v>
      </c>
      <c r="P22" s="86">
        <f>IF(X$16=FALSE,(IF(ISBLANK(H22),-99,$C22-10*LOG(4*PI()*H$13^2)+3+10*LOG((60/(3600*$K$8)))+10*LOG(H$17))),-99)</f>
        <v>-99</v>
      </c>
      <c r="Q22" s="86">
        <f>IF(Y$16=FALSE,(IF(ISBLANK(J22),-99,$C22-10*LOG(4*PI()*J$13^2)+3+10*LOG((60/(3600*$K$8)))+10*LOG(J$17))),-99)</f>
        <v>-99</v>
      </c>
      <c r="R22" s="86">
        <f>IF(Z$16=FALSE,(IF(ISBLANK(L22),-99,$C22-10*LOG(4*PI()*L$13^2)+3+10*LOG((60/(3600*$K$8)))+10*LOG(L$17))),-99)</f>
        <v>-99</v>
      </c>
      <c r="S22" s="87">
        <f>IF($W$16=FALSE,(IF(ISBLANK(F22),-99,$D22-10*LOG(4*PI()*F$13^2)+3)),-99)</f>
        <v>-99</v>
      </c>
      <c r="T22" s="88">
        <f>IF($X$16=FALSE,(IF(ISBLANK(H22),-99,$D22-10*LOG(4*PI()*H$13^2)+3)),-99)</f>
        <v>-99</v>
      </c>
      <c r="U22" s="88">
        <f>IF($Y$16=FALSE,(IF(ISBLANK(J22),-99,$D22-10*LOG(4*PI()*J$13^2)+3)),-99)</f>
        <v>-99</v>
      </c>
      <c r="V22" s="89">
        <f>IF($Z$16=FALSE,(IF(ISBLANK(L22),-99,$D22-10*LOG(4*PI()*L$13^2)+3)),-99)</f>
        <v>-99</v>
      </c>
      <c r="W22" s="6">
        <f>10^(O22/10)</f>
        <v>1.2589254117941656E-10</v>
      </c>
      <c r="X22" s="4">
        <f t="shared" ref="W22:Z26" si="0">10^(P22/10)</f>
        <v>1.2589254117941656E-10</v>
      </c>
      <c r="Y22" s="4">
        <f t="shared" si="0"/>
        <v>1.2589254117941656E-10</v>
      </c>
      <c r="Z22" s="7">
        <f t="shared" si="0"/>
        <v>1.2589254117941656E-10</v>
      </c>
    </row>
    <row r="23" spans="1:26" ht="12">
      <c r="A23" s="125" t="s">
        <v>185</v>
      </c>
      <c r="B23" s="60"/>
      <c r="C23" s="71">
        <f>IFERROR(VLOOKUP($A23,'Katalog-køretøjer'!$B$7:$D$14,2,FALSE),"")</f>
        <v>0</v>
      </c>
      <c r="D23" s="71">
        <f>IFERROR(VLOOKUP($A23,'Katalog-køretøjer'!$B$7:$D$14,3,FALSE),"")</f>
        <v>0</v>
      </c>
      <c r="E23" s="1"/>
      <c r="F23" s="161"/>
      <c r="G23" s="162"/>
      <c r="H23" s="162"/>
      <c r="I23" s="162"/>
      <c r="J23" s="162"/>
      <c r="K23" s="162"/>
      <c r="L23" s="162"/>
      <c r="M23" s="163"/>
      <c r="O23" s="85">
        <f>IF(W$16=FALSE,(IF(ISBLANK(F23),-99,$C23-10*LOG(4*PI()*F$13^2)+3+10*LOG((60/(3600*$K$8)))+10*LOG(F$17))),-99)</f>
        <v>-99</v>
      </c>
      <c r="P23" s="86">
        <f t="shared" ref="P23:P26" si="1">IF(X$16=FALSE,(IF(ISBLANK(H23),-99,$C23-10*LOG(4*PI()*H$13^2)+3+10*LOG((60/(3600*$K$8)))+10*LOG(H$17))),-99)</f>
        <v>-99</v>
      </c>
      <c r="Q23" s="86">
        <f t="shared" ref="Q23:Q26" si="2">IF(Y$16=FALSE,(IF(ISBLANK(J23),-99,$C23-10*LOG(4*PI()*J$13^2)+3+10*LOG((60/(3600*$K$8)))+10*LOG(J$17))),-99)</f>
        <v>-99</v>
      </c>
      <c r="R23" s="86">
        <f t="shared" ref="R23:R26" si="3">IF(Z$16=FALSE,(IF(ISBLANK(L23),-99,$C23-10*LOG(4*PI()*L$13^2)+3+10*LOG((60/(3600*$K$8)))+10*LOG(L$17))),-99)</f>
        <v>-99</v>
      </c>
      <c r="S23" s="87">
        <f>IF($W$16=FALSE,(IF(ISBLANK(F23),-99,$D23-10*LOG(4*PI()*F$13^2)+3)),-99)</f>
        <v>-99</v>
      </c>
      <c r="T23" s="88">
        <f>IF($X$16=FALSE,(IF(ISBLANK(H23),-99,$D23-10*LOG(4*PI()*H$13^2)+3)),-99)</f>
        <v>-99</v>
      </c>
      <c r="U23" s="88">
        <f>IF($Y$16=FALSE,(IF(ISBLANK(J23),-99,$D23-10*LOG(4*PI()*J$13^2)+3)),-99)</f>
        <v>-99</v>
      </c>
      <c r="V23" s="89">
        <f>IF($Z$16=FALSE,(IF(ISBLANK(L23),-99,$D23-10*LOG(4*PI()*L$13^2)+3)),-99)</f>
        <v>-99</v>
      </c>
      <c r="W23" s="6">
        <f t="shared" si="0"/>
        <v>1.2589254117941656E-10</v>
      </c>
      <c r="X23" s="4">
        <f t="shared" si="0"/>
        <v>1.2589254117941656E-10</v>
      </c>
      <c r="Y23" s="4">
        <f t="shared" si="0"/>
        <v>1.2589254117941656E-10</v>
      </c>
      <c r="Z23" s="7">
        <f t="shared" si="0"/>
        <v>1.2589254117941656E-10</v>
      </c>
    </row>
    <row r="24" spans="1:26" ht="12">
      <c r="A24" s="125" t="s">
        <v>185</v>
      </c>
      <c r="B24" s="60"/>
      <c r="C24" s="71">
        <f>IFERROR(VLOOKUP($A24,'Katalog-køretøjer'!$B$7:$D$14,2,FALSE),"")</f>
        <v>0</v>
      </c>
      <c r="D24" s="71">
        <f>IFERROR(VLOOKUP($A24,'Katalog-køretøjer'!$B$7:$D$14,3,FALSE),"")</f>
        <v>0</v>
      </c>
      <c r="E24" s="1"/>
      <c r="F24" s="161"/>
      <c r="G24" s="162"/>
      <c r="H24" s="162"/>
      <c r="I24" s="162"/>
      <c r="J24" s="162"/>
      <c r="K24" s="162"/>
      <c r="L24" s="162"/>
      <c r="M24" s="163"/>
      <c r="O24" s="85">
        <f t="shared" ref="O24:O26" si="4">IF(W$16=FALSE,(IF(ISBLANK(F24),-99,$C24-10*LOG(4*PI()*F$13^2)+3+10*LOG((60/(3600*$K$8)))+10*LOG(F$17))),-99)</f>
        <v>-99</v>
      </c>
      <c r="P24" s="86">
        <f t="shared" si="1"/>
        <v>-99</v>
      </c>
      <c r="Q24" s="86">
        <f t="shared" si="2"/>
        <v>-99</v>
      </c>
      <c r="R24" s="86">
        <f t="shared" si="3"/>
        <v>-99</v>
      </c>
      <c r="S24" s="87">
        <f>IF($W$16=FALSE,(IF(ISBLANK(F24),-99,$D24-10*LOG(4*PI()*F$13^2)+3)),-99)</f>
        <v>-99</v>
      </c>
      <c r="T24" s="88">
        <f>IF($X$16=FALSE,(IF(ISBLANK(H24),-99,$D24-10*LOG(4*PI()*H$13^2)+3)),-99)</f>
        <v>-99</v>
      </c>
      <c r="U24" s="88">
        <f>IF($Y$16=FALSE,(IF(ISBLANK(J24),-99,$D24-10*LOG(4*PI()*J$13^2)+3)),-99)</f>
        <v>-99</v>
      </c>
      <c r="V24" s="89">
        <f>IF($Z$16=FALSE,(IF(ISBLANK(L24),-99,$D24-10*LOG(4*PI()*L$13^2)+3)),-99)</f>
        <v>-99</v>
      </c>
      <c r="W24" s="6">
        <f t="shared" si="0"/>
        <v>1.2589254117941656E-10</v>
      </c>
      <c r="X24" s="4">
        <f t="shared" si="0"/>
        <v>1.2589254117941656E-10</v>
      </c>
      <c r="Y24" s="4">
        <f t="shared" si="0"/>
        <v>1.2589254117941656E-10</v>
      </c>
      <c r="Z24" s="7">
        <f t="shared" si="0"/>
        <v>1.2589254117941656E-10</v>
      </c>
    </row>
    <row r="25" spans="1:26" ht="12">
      <c r="A25" s="125" t="s">
        <v>185</v>
      </c>
      <c r="B25" s="60"/>
      <c r="C25" s="71">
        <f>IFERROR(VLOOKUP($A25,'Katalog-køretøjer'!$B$7:$D$14,2,FALSE),"")</f>
        <v>0</v>
      </c>
      <c r="D25" s="71">
        <f>IFERROR(VLOOKUP($A25,'Katalog-køretøjer'!$B$7:$D$14,3,FALSE),"")</f>
        <v>0</v>
      </c>
      <c r="E25" s="1"/>
      <c r="F25" s="161"/>
      <c r="G25" s="162"/>
      <c r="H25" s="162"/>
      <c r="I25" s="162"/>
      <c r="J25" s="162"/>
      <c r="K25" s="162"/>
      <c r="L25" s="162"/>
      <c r="M25" s="163"/>
      <c r="O25" s="85">
        <f t="shared" si="4"/>
        <v>-99</v>
      </c>
      <c r="P25" s="86">
        <f t="shared" si="1"/>
        <v>-99</v>
      </c>
      <c r="Q25" s="86">
        <f t="shared" si="2"/>
        <v>-99</v>
      </c>
      <c r="R25" s="86">
        <f t="shared" si="3"/>
        <v>-99</v>
      </c>
      <c r="S25" s="87">
        <f>IF($W$16=FALSE,(IF(ISBLANK(F25),-99,$D25-10*LOG(4*PI()*F$13^2)+3)),-99)</f>
        <v>-99</v>
      </c>
      <c r="T25" s="88">
        <f>IF($X$16=FALSE,(IF(ISBLANK(H25),-99,$D25-10*LOG(4*PI()*H$13^2)+3)),-99)</f>
        <v>-99</v>
      </c>
      <c r="U25" s="88">
        <f>IF($Y$16=FALSE,(IF(ISBLANK(J25),-99,$D25-10*LOG(4*PI()*J$13^2)+3)),-99)</f>
        <v>-99</v>
      </c>
      <c r="V25" s="89">
        <f>IF($Z$16=FALSE,(IF(ISBLANK(L25),-99,$D25-10*LOG(4*PI()*L$13^2)+3)),-99)</f>
        <v>-99</v>
      </c>
      <c r="W25" s="6">
        <f t="shared" si="0"/>
        <v>1.2589254117941656E-10</v>
      </c>
      <c r="X25" s="4">
        <f t="shared" si="0"/>
        <v>1.2589254117941656E-10</v>
      </c>
      <c r="Y25" s="4">
        <f t="shared" si="0"/>
        <v>1.2589254117941656E-10</v>
      </c>
      <c r="Z25" s="7">
        <f t="shared" si="0"/>
        <v>1.2589254117941656E-10</v>
      </c>
    </row>
    <row r="26" spans="1:26" ht="12">
      <c r="A26" s="125" t="s">
        <v>185</v>
      </c>
      <c r="B26" s="60"/>
      <c r="C26" s="71">
        <f>IFERROR(VLOOKUP($A26,'Katalog-køretøjer'!$B$7:$D$14,2,FALSE),"")</f>
        <v>0</v>
      </c>
      <c r="D26" s="71">
        <f>IFERROR(VLOOKUP($A26,'Katalog-køretøjer'!$B$7:$D$14,3,FALSE),"")</f>
        <v>0</v>
      </c>
      <c r="E26" s="1"/>
      <c r="F26" s="161"/>
      <c r="G26" s="162"/>
      <c r="H26" s="162"/>
      <c r="I26" s="162"/>
      <c r="J26" s="162"/>
      <c r="K26" s="162"/>
      <c r="L26" s="162"/>
      <c r="M26" s="163"/>
      <c r="O26" s="85">
        <f t="shared" si="4"/>
        <v>-99</v>
      </c>
      <c r="P26" s="86">
        <f t="shared" si="1"/>
        <v>-99</v>
      </c>
      <c r="Q26" s="86">
        <f t="shared" si="2"/>
        <v>-99</v>
      </c>
      <c r="R26" s="86">
        <f t="shared" si="3"/>
        <v>-99</v>
      </c>
      <c r="S26" s="87">
        <f>IF($W$16=FALSE,(IF(ISBLANK(F26),-99,$D26-10*LOG(4*PI()*F$13^2)+3)),-99)</f>
        <v>-99</v>
      </c>
      <c r="T26" s="88">
        <f>IF($X$16=FALSE,(IF(ISBLANK(H26),-99,$D26-10*LOG(4*PI()*H$13^2)+3)),-99)</f>
        <v>-99</v>
      </c>
      <c r="U26" s="88">
        <f>IF($Y$16=FALSE,(IF(ISBLANK(J26),-99,$D26-10*LOG(4*PI()*J$13^2)+3)),-99)</f>
        <v>-99</v>
      </c>
      <c r="V26" s="89">
        <f>IF($Z$16=FALSE,(IF(ISBLANK(L26),-99,$D26-10*LOG(4*PI()*L$13^2)+3)),-99)</f>
        <v>-99</v>
      </c>
      <c r="W26" s="8">
        <f t="shared" si="0"/>
        <v>1.2589254117941656E-10</v>
      </c>
      <c r="X26" s="18">
        <f t="shared" si="0"/>
        <v>1.2589254117941656E-10</v>
      </c>
      <c r="Y26" s="18">
        <f t="shared" si="0"/>
        <v>1.2589254117941656E-10</v>
      </c>
      <c r="Z26" s="9">
        <f t="shared" si="0"/>
        <v>1.2589254117941656E-10</v>
      </c>
    </row>
    <row r="27" spans="1:26">
      <c r="C27" s="1"/>
      <c r="D27" s="1"/>
      <c r="E27" s="1"/>
      <c r="F27" s="1"/>
      <c r="G27" s="1"/>
      <c r="H27" s="1"/>
      <c r="I27" s="1"/>
      <c r="J27" s="1"/>
      <c r="K27" s="1"/>
      <c r="L27" s="1"/>
      <c r="M27" s="1"/>
    </row>
    <row r="28" spans="1:26" ht="48">
      <c r="A28" s="13" t="s">
        <v>15</v>
      </c>
      <c r="B28" s="14"/>
      <c r="C28" s="73" t="s">
        <v>22</v>
      </c>
      <c r="D28" s="73" t="s">
        <v>21</v>
      </c>
      <c r="E28" s="73" t="s">
        <v>16</v>
      </c>
      <c r="F28" s="155" t="s">
        <v>423</v>
      </c>
      <c r="G28" s="156"/>
      <c r="H28" s="156"/>
      <c r="I28" s="156"/>
      <c r="J28" s="156"/>
      <c r="K28" s="156"/>
      <c r="L28" s="156"/>
      <c r="M28" s="157"/>
      <c r="O28" s="158" t="s">
        <v>26</v>
      </c>
      <c r="P28" s="159"/>
      <c r="Q28" s="159"/>
      <c r="R28" s="160"/>
      <c r="S28" s="158" t="s">
        <v>27</v>
      </c>
      <c r="T28" s="159"/>
      <c r="U28" s="159"/>
      <c r="V28" s="160"/>
      <c r="W28" s="50"/>
      <c r="X28" s="51"/>
      <c r="Y28" s="51"/>
      <c r="Z28" s="52"/>
    </row>
    <row r="29" spans="1:26" ht="12.75">
      <c r="A29" s="167" t="s">
        <v>186</v>
      </c>
      <c r="B29" s="165"/>
      <c r="C29" s="165"/>
      <c r="D29" s="165"/>
      <c r="E29" s="165"/>
      <c r="F29" s="165"/>
      <c r="G29" s="165"/>
      <c r="H29" s="165"/>
      <c r="I29" s="165"/>
      <c r="J29" s="165"/>
      <c r="K29" s="165"/>
      <c r="L29" s="165"/>
      <c r="M29" s="166"/>
      <c r="N29" s="4"/>
      <c r="O29" s="6"/>
      <c r="P29" s="4"/>
      <c r="Q29" s="4"/>
      <c r="R29" s="7"/>
      <c r="S29" s="6"/>
      <c r="T29" s="4"/>
      <c r="U29" s="4"/>
      <c r="V29" s="7"/>
      <c r="W29" s="6"/>
      <c r="X29" s="4"/>
      <c r="Y29" s="4"/>
      <c r="Z29" s="7"/>
    </row>
    <row r="30" spans="1:26" ht="12">
      <c r="A30" s="125" t="s">
        <v>185</v>
      </c>
      <c r="B30" s="60"/>
      <c r="C30" s="97">
        <f>IFERROR(VLOOKUP($A30,'Katalog-samlede leverancer'!$B$6:$F$13,2,FALSE),"")</f>
        <v>0</v>
      </c>
      <c r="D30" s="97">
        <f>IFERROR(VLOOKUP($A30,'Katalog-samlede leverancer'!$B$6:$F$13,3,FALSE),"")</f>
        <v>0</v>
      </c>
      <c r="E30" s="72">
        <f>IFERROR(VLOOKUP($A30,'Katalog-samlede leverancer'!$B$6:$F$13,4,FALSE),"")</f>
        <v>0</v>
      </c>
      <c r="F30" s="53"/>
      <c r="G30" s="54">
        <f>IF(ISBLANK(F30),0,$E30)</f>
        <v>0</v>
      </c>
      <c r="H30" s="55"/>
      <c r="I30" s="54">
        <f>IF(ISBLANK(H30),0,$E30)</f>
        <v>0</v>
      </c>
      <c r="J30" s="55"/>
      <c r="K30" s="56">
        <f>IF(ISBLANK(J30),0,$E30)</f>
        <v>0</v>
      </c>
      <c r="L30" s="55"/>
      <c r="M30" s="56">
        <f>IF(ISBLANK(L30),0,$E30)</f>
        <v>0</v>
      </c>
      <c r="O30" s="6">
        <f>IF($W$17=FALSE,(IF(ISBLANK(F30),-99,$C30-10*LOG(4*PI()*F$14^2)+3+10*LOG(1*G30)+Q$19)),-99)</f>
        <v>-99</v>
      </c>
      <c r="P30" s="4">
        <f>IF($X$17=FALSE,(IF(ISBLANK(H30),-99,$C30-10*LOG(4*PI()*H$14^2)+3+10*LOG(1*I30)+R$19)),-99)</f>
        <v>-99</v>
      </c>
      <c r="Q30" s="4">
        <f>IF($Y$17=FALSE,(IF(ISBLANK(J30),-99,$C30-10*LOG(4*PI()*J$14^2)+3+10*LOG(1*K30)+S$19)),-99)</f>
        <v>-99</v>
      </c>
      <c r="R30" s="7">
        <f>IF($Z$17=FALSE,(IF(ISBLANK(L30),-99,$C30-10*LOG(4*PI()*L$14^2)+3+10*LOG(1*M30)+T$19)),-99)</f>
        <v>-99</v>
      </c>
      <c r="S30" s="6">
        <f>IF($W$17=FALSE,(IF(ISBLANK(F30),-99,D30-10*LOG(4*PI()*F$14^2)+3+3)),-99)</f>
        <v>-99</v>
      </c>
      <c r="T30" s="4">
        <f>IF($X$17=FALSE,(IF(ISBLANK(H30),-99,$D30-10*LOG(4*PI()*H$14^2)+3+3)),-99)</f>
        <v>-99</v>
      </c>
      <c r="U30" s="4">
        <f>IF($Y$17=FALSE,(IF(ISBLANK(J30),-99,$D30-10*LOG(4*PI()*J$14^2)+3+3)),-99)</f>
        <v>-99</v>
      </c>
      <c r="V30" s="7">
        <f>IF($Z$17=FALSE,(IF(ISBLANK(L30),-99,$D30-10*LOG(4*PI()*L$14^2)+3+3)),-99)</f>
        <v>-99</v>
      </c>
      <c r="W30" s="6">
        <f t="shared" ref="W30:Z32" si="5">10^(O30/10)</f>
        <v>1.2589254117941656E-10</v>
      </c>
      <c r="X30" s="4">
        <f t="shared" si="5"/>
        <v>1.2589254117941656E-10</v>
      </c>
      <c r="Y30" s="4">
        <f t="shared" si="5"/>
        <v>1.2589254117941656E-10</v>
      </c>
      <c r="Z30" s="7">
        <f t="shared" si="5"/>
        <v>1.2589254117941656E-10</v>
      </c>
    </row>
    <row r="31" spans="1:26">
      <c r="A31" s="126" t="s">
        <v>185</v>
      </c>
      <c r="B31" s="60"/>
      <c r="C31" s="97">
        <f>IFERROR(VLOOKUP($A31,'Katalog-samlede leverancer'!$B$6:$F$13,2,FALSE),"")</f>
        <v>0</v>
      </c>
      <c r="D31" s="97">
        <f>IFERROR(VLOOKUP($A31,'Katalog-samlede leverancer'!$B$6:$F$13,3,FALSE),"")</f>
        <v>0</v>
      </c>
      <c r="E31" s="72">
        <f>IFERROR(VLOOKUP($A31,'Katalog-samlede leverancer'!$B$6:$F$13,4,FALSE),"")</f>
        <v>0</v>
      </c>
      <c r="F31" s="53"/>
      <c r="G31" s="54">
        <f t="shared" ref="G31:G32" si="6">IF(ISBLANK(F31),0,$E31)</f>
        <v>0</v>
      </c>
      <c r="H31" s="55"/>
      <c r="I31" s="54">
        <f t="shared" ref="I31:I32" si="7">IF(ISBLANK(H31),0,$E31)</f>
        <v>0</v>
      </c>
      <c r="J31" s="55"/>
      <c r="K31" s="56">
        <f t="shared" ref="K31:K32" si="8">IF(ISBLANK(J31),0,$E31)</f>
        <v>0</v>
      </c>
      <c r="L31" s="55"/>
      <c r="M31" s="56">
        <f t="shared" ref="M31:M32" si="9">IF(ISBLANK(L31),0,$E31)</f>
        <v>0</v>
      </c>
      <c r="O31" s="6">
        <f>IF($W$17=FALSE,(IF(ISBLANK(F31),-99,$C31-10*LOG(4*PI()*F$14^2)+3+10*LOG(1*G31)+Q$19)),-99)</f>
        <v>-99</v>
      </c>
      <c r="P31" s="4">
        <f>IF($X$17=FALSE,(IF(ISBLANK(H31),-99,$C31-10*LOG(4*PI()*H$14^2)+3+10*LOG(1*I31)+R$19)),-99)</f>
        <v>-99</v>
      </c>
      <c r="Q31" s="4">
        <f>IF($Y$17=FALSE,(IF(ISBLANK(J31),-99,$C31-10*LOG(4*PI()*J$14^2)+3+10*LOG(1*K31)+S$19)),-99)</f>
        <v>-99</v>
      </c>
      <c r="R31" s="7">
        <f>IF($Z$17=FALSE,(IF(ISBLANK(L31),-99,$C31-10*LOG(4*PI()*L$14^2)+3+10*LOG(1*M31)+T$19)),-99)</f>
        <v>-99</v>
      </c>
      <c r="S31" s="6">
        <f t="shared" ref="S31:S32" si="10">IF($W$17=FALSE,(IF(ISBLANK(F31),-99,D31-10*LOG(4*PI()*F$14^2)+3+3)),-99)</f>
        <v>-99</v>
      </c>
      <c r="T31" s="4">
        <f t="shared" ref="T31:T32" si="11">IF($X$17=FALSE,(IF(ISBLANK(H31),-99,$D31-10*LOG(4*PI()*H$14^2)+3+3)),-99)</f>
        <v>-99</v>
      </c>
      <c r="U31" s="4">
        <f t="shared" ref="U31:U32" si="12">IF($Y$17=FALSE,(IF(ISBLANK(J31),-99,$D31-10*LOG(4*PI()*J$14^2)+3+3)),-99)</f>
        <v>-99</v>
      </c>
      <c r="V31" s="7">
        <f t="shared" ref="V31:V32" si="13">IF($Z$17=FALSE,(IF(ISBLANK(L31),-99,$D31-10*LOG(4*PI()*L$14^2)+3+3)),-99)</f>
        <v>-99</v>
      </c>
      <c r="W31" s="6">
        <f t="shared" si="5"/>
        <v>1.2589254117941656E-10</v>
      </c>
      <c r="X31" s="4">
        <f t="shared" si="5"/>
        <v>1.2589254117941656E-10</v>
      </c>
      <c r="Y31" s="4">
        <f t="shared" si="5"/>
        <v>1.2589254117941656E-10</v>
      </c>
      <c r="Z31" s="7">
        <f t="shared" si="5"/>
        <v>1.2589254117941656E-10</v>
      </c>
    </row>
    <row r="32" spans="1:26">
      <c r="A32" s="126" t="s">
        <v>185</v>
      </c>
      <c r="B32" s="60"/>
      <c r="C32" s="97">
        <f>IFERROR(VLOOKUP($A32,'Katalog-samlede leverancer'!$B$6:$F$13,2,FALSE),"")</f>
        <v>0</v>
      </c>
      <c r="D32" s="97">
        <f>IFERROR(VLOOKUP($A32,'Katalog-samlede leverancer'!$B$6:$F$13,3,FALSE),"")</f>
        <v>0</v>
      </c>
      <c r="E32" s="72">
        <f>IFERROR(VLOOKUP($A32,'Katalog-samlede leverancer'!$B$6:$F$13,4,FALSE),"")</f>
        <v>0</v>
      </c>
      <c r="F32" s="53"/>
      <c r="G32" s="54">
        <f t="shared" si="6"/>
        <v>0</v>
      </c>
      <c r="H32" s="55"/>
      <c r="I32" s="54">
        <f t="shared" si="7"/>
        <v>0</v>
      </c>
      <c r="J32" s="55"/>
      <c r="K32" s="56">
        <f t="shared" si="8"/>
        <v>0</v>
      </c>
      <c r="L32" s="55"/>
      <c r="M32" s="56">
        <f t="shared" si="9"/>
        <v>0</v>
      </c>
      <c r="O32" s="6">
        <f>IF($W$17=FALSE,(IF(ISBLANK(F32),-99,$C32-10*LOG(4*PI()*F$14^2)+3+10*LOG(1*G32)+Q$19)),-99)</f>
        <v>-99</v>
      </c>
      <c r="P32" s="4">
        <f>IF($X$17=FALSE,(IF(ISBLANK(H32),-99,$C32-10*LOG(4*PI()*H$14^2)+3+10*LOG(1*I32)+R$19)),-99)</f>
        <v>-99</v>
      </c>
      <c r="Q32" s="4">
        <f>IF($Y$17=FALSE,(IF(ISBLANK(J32),-99,$C32-10*LOG(4*PI()*J$14^2)+3+10*LOG(1*K32)+S$19)),-99)</f>
        <v>-99</v>
      </c>
      <c r="R32" s="7">
        <f>IF($Z$17=FALSE,(IF(ISBLANK(L32),-99,$C32-10*LOG(4*PI()*L$14^2)+3+10*LOG(1*M32)+T$19)),-99)</f>
        <v>-99</v>
      </c>
      <c r="S32" s="6">
        <f t="shared" si="10"/>
        <v>-99</v>
      </c>
      <c r="T32" s="4">
        <f t="shared" si="11"/>
        <v>-99</v>
      </c>
      <c r="U32" s="4">
        <f t="shared" si="12"/>
        <v>-99</v>
      </c>
      <c r="V32" s="7">
        <f t="shared" si="13"/>
        <v>-99</v>
      </c>
      <c r="W32" s="6">
        <f t="shared" si="5"/>
        <v>1.2589254117941656E-10</v>
      </c>
      <c r="X32" s="4">
        <f t="shared" si="5"/>
        <v>1.2589254117941656E-10</v>
      </c>
      <c r="Y32" s="4">
        <f t="shared" si="5"/>
        <v>1.2589254117941656E-10</v>
      </c>
      <c r="Z32" s="7">
        <f t="shared" si="5"/>
        <v>1.2589254117941656E-10</v>
      </c>
    </row>
    <row r="33" spans="1:26" ht="12.75">
      <c r="A33" s="168" t="s">
        <v>187</v>
      </c>
      <c r="B33" s="169"/>
      <c r="C33" s="169"/>
      <c r="D33" s="169"/>
      <c r="E33" s="169"/>
      <c r="F33" s="169"/>
      <c r="G33" s="169"/>
      <c r="H33" s="169"/>
      <c r="I33" s="169"/>
      <c r="J33" s="169"/>
      <c r="K33" s="169"/>
      <c r="L33" s="169"/>
      <c r="M33" s="169"/>
      <c r="N33" s="4"/>
      <c r="O33" s="6"/>
      <c r="P33" s="4"/>
      <c r="Q33" s="4"/>
      <c r="R33" s="7"/>
      <c r="S33" s="6"/>
      <c r="T33" s="4"/>
      <c r="U33" s="4"/>
      <c r="V33" s="7"/>
      <c r="W33" s="6"/>
      <c r="X33" s="4"/>
      <c r="Y33" s="4"/>
      <c r="Z33" s="7"/>
    </row>
    <row r="34" spans="1:26">
      <c r="A34" s="164" t="s">
        <v>195</v>
      </c>
      <c r="B34" s="165"/>
      <c r="C34" s="165"/>
      <c r="D34" s="165"/>
      <c r="E34" s="165"/>
      <c r="F34" s="165"/>
      <c r="G34" s="165"/>
      <c r="H34" s="165"/>
      <c r="I34" s="165"/>
      <c r="J34" s="165"/>
      <c r="K34" s="165"/>
      <c r="L34" s="165"/>
      <c r="M34" s="166"/>
      <c r="O34" s="6">
        <f t="shared" ref="O34:O60" si="14">IF($W$17=FALSE,(IF(ISBLANK(F34),-99,$C34-10*LOG(4*PI()*F$14^2)+3+10*LOG(1*G34)+Q$19)),-99)</f>
        <v>-99</v>
      </c>
      <c r="P34" s="4">
        <f t="shared" ref="P34:P60" si="15">IF($X$17=FALSE,(IF(ISBLANK(H34),-99,$C34-10*LOG(4*PI()*H$14^2)+3+10*LOG(1*I34)+R$19)),-99)</f>
        <v>-99</v>
      </c>
      <c r="Q34" s="4">
        <f t="shared" ref="Q34:Q60" si="16">IF($Y$17=FALSE,(IF(ISBLANK(J34),-99,$C34-10*LOG(4*PI()*J$14^2)+3+10*LOG(1*K34)+S$19)),-99)</f>
        <v>-99</v>
      </c>
      <c r="R34" s="7">
        <f t="shared" ref="R34:R60" si="17">IF($Z$17=FALSE,(IF(ISBLANK(L34),-99,$C34-10*LOG(4*PI()*L$14^2)+3+10*LOG(1*M34)+T$19)),-99)</f>
        <v>-99</v>
      </c>
      <c r="S34" s="6">
        <f>IF($W$17=FALSE,(IF(ISBLANK(F34),-99,D34-10*LOG(4*PI()*F$14^2)+3+3)),-99)</f>
        <v>-99</v>
      </c>
      <c r="T34" s="4">
        <f>IF($X$17=FALSE,(IF(ISBLANK(H34),-99,D34-10*LOG(4*PI()*H$14^2)+3+3)),-99)</f>
        <v>-99</v>
      </c>
      <c r="U34" s="4">
        <f>IF($Y$17=FALSE,(IF(ISBLANK(J34),-99,D34-10*LOG(4*PI()*J$14^2)+3+3)),-99)</f>
        <v>-99</v>
      </c>
      <c r="V34" s="7">
        <f>IF($Z$17=FALSE,(IF(ISBLANK(L34),-99,D34-10*LOG(4*PI()*L$14^2)+3)),-99)</f>
        <v>-99</v>
      </c>
      <c r="W34" s="6">
        <f t="shared" ref="W34:Z49" si="18">10^(O34/10)</f>
        <v>1.2589254117941656E-10</v>
      </c>
      <c r="X34" s="4">
        <f t="shared" si="18"/>
        <v>1.2589254117941656E-10</v>
      </c>
      <c r="Y34" s="4">
        <f t="shared" si="18"/>
        <v>1.2589254117941656E-10</v>
      </c>
      <c r="Z34" s="7">
        <f t="shared" si="18"/>
        <v>1.2589254117941656E-10</v>
      </c>
    </row>
    <row r="35" spans="1:26" ht="12">
      <c r="A35" s="125" t="s">
        <v>185</v>
      </c>
      <c r="B35" s="60"/>
      <c r="C35" s="97">
        <f>IFERROR(VLOOKUP($A35,'Katalog-støjkilder'!$B$9:$F$20,2,FALSE),"")</f>
        <v>0</v>
      </c>
      <c r="D35" s="97">
        <f>IFERROR(VLOOKUP($A35,'Katalog-støjkilder'!$B$9:$F$20,3,FALSE),"")</f>
        <v>0</v>
      </c>
      <c r="E35" s="72">
        <f>IFERROR(VLOOKUP($A35,'Katalog-støjkilder'!$B$9:$F$20,4,FALSE),"")</f>
        <v>0</v>
      </c>
      <c r="F35" s="57"/>
      <c r="G35" s="54">
        <f t="shared" ref="G35:G60" si="19">IF(ISBLANK(F35),0,$E35)</f>
        <v>0</v>
      </c>
      <c r="H35" s="58"/>
      <c r="I35" s="54">
        <f t="shared" ref="I35:I60" si="20">IF(ISBLANK(H35),0,$E35)</f>
        <v>0</v>
      </c>
      <c r="J35" s="58"/>
      <c r="K35" s="54">
        <f t="shared" ref="K35:K60" si="21">IF(ISBLANK(J35),0,$E35)</f>
        <v>0</v>
      </c>
      <c r="L35" s="58"/>
      <c r="M35" s="59">
        <f t="shared" ref="M35:M60" si="22">IF(ISBLANK(L35),0,$E35)</f>
        <v>0</v>
      </c>
      <c r="O35" s="6">
        <f t="shared" si="14"/>
        <v>-99</v>
      </c>
      <c r="P35" s="4">
        <f t="shared" si="15"/>
        <v>-99</v>
      </c>
      <c r="Q35" s="4">
        <f t="shared" si="16"/>
        <v>-99</v>
      </c>
      <c r="R35" s="7">
        <f t="shared" si="17"/>
        <v>-99</v>
      </c>
      <c r="S35" s="6">
        <f t="shared" ref="S35:S60" si="23">IF($W$17=FALSE,(IF(ISBLANK(F35),-99,D35-10*LOG(4*PI()*F$14^2)+3+3)),-99)</f>
        <v>-99</v>
      </c>
      <c r="T35" s="4">
        <f t="shared" ref="T35:T60" si="24">IF($X$17=FALSE,(IF(ISBLANK(H35),-99,D35-10*LOG(4*PI()*H$14^2)+3+3)),-99)</f>
        <v>-99</v>
      </c>
      <c r="U35" s="4">
        <f t="shared" ref="U35:U60" si="25">IF($Y$17=FALSE,(IF(ISBLANK(J35),-99,D35-10*LOG(4*PI()*J$14^2)+3+3)),-99)</f>
        <v>-99</v>
      </c>
      <c r="V35" s="7">
        <f t="shared" ref="V35:V60" si="26">IF($Z$17=FALSE,(IF(ISBLANK(L35),-99,D35-10*LOG(4*PI()*L$14^2)+3)),-99)</f>
        <v>-99</v>
      </c>
      <c r="W35" s="6">
        <f t="shared" si="18"/>
        <v>1.2589254117941656E-10</v>
      </c>
      <c r="X35" s="4">
        <f t="shared" si="18"/>
        <v>1.2589254117941656E-10</v>
      </c>
      <c r="Y35" s="4">
        <f t="shared" si="18"/>
        <v>1.2589254117941656E-10</v>
      </c>
      <c r="Z35" s="7">
        <f t="shared" si="18"/>
        <v>1.2589254117941656E-10</v>
      </c>
    </row>
    <row r="36" spans="1:26" ht="12">
      <c r="A36" s="125" t="s">
        <v>185</v>
      </c>
      <c r="B36" s="60"/>
      <c r="C36" s="97">
        <f>IFERROR(VLOOKUP($A36,'Katalog-støjkilder'!$B$9:$F$20,2,FALSE),"")</f>
        <v>0</v>
      </c>
      <c r="D36" s="97">
        <f>IFERROR(VLOOKUP($A36,'Katalog-støjkilder'!$B$9:$F$20,3,FALSE),"")</f>
        <v>0</v>
      </c>
      <c r="E36" s="72">
        <f>IFERROR(VLOOKUP($A36,'Katalog-støjkilder'!$B$9:$F$20,4,FALSE),"")</f>
        <v>0</v>
      </c>
      <c r="F36" s="57"/>
      <c r="G36" s="54">
        <f t="shared" si="19"/>
        <v>0</v>
      </c>
      <c r="H36" s="58"/>
      <c r="I36" s="54">
        <f t="shared" si="20"/>
        <v>0</v>
      </c>
      <c r="J36" s="58"/>
      <c r="K36" s="54">
        <f t="shared" si="21"/>
        <v>0</v>
      </c>
      <c r="L36" s="58"/>
      <c r="M36" s="59">
        <f t="shared" si="22"/>
        <v>0</v>
      </c>
      <c r="O36" s="6">
        <f t="shared" si="14"/>
        <v>-99</v>
      </c>
      <c r="P36" s="4">
        <f t="shared" si="15"/>
        <v>-99</v>
      </c>
      <c r="Q36" s="4">
        <f t="shared" si="16"/>
        <v>-99</v>
      </c>
      <c r="R36" s="7">
        <f t="shared" si="17"/>
        <v>-99</v>
      </c>
      <c r="S36" s="6">
        <f t="shared" si="23"/>
        <v>-99</v>
      </c>
      <c r="T36" s="4">
        <f t="shared" si="24"/>
        <v>-99</v>
      </c>
      <c r="U36" s="4">
        <f t="shared" si="25"/>
        <v>-99</v>
      </c>
      <c r="V36" s="7">
        <f t="shared" si="26"/>
        <v>-99</v>
      </c>
      <c r="W36" s="6">
        <f t="shared" si="18"/>
        <v>1.2589254117941656E-10</v>
      </c>
      <c r="X36" s="4">
        <f t="shared" si="18"/>
        <v>1.2589254117941656E-10</v>
      </c>
      <c r="Y36" s="4">
        <f t="shared" si="18"/>
        <v>1.2589254117941656E-10</v>
      </c>
      <c r="Z36" s="7">
        <f t="shared" si="18"/>
        <v>1.2589254117941656E-10</v>
      </c>
    </row>
    <row r="37" spans="1:26" ht="12">
      <c r="A37" s="125" t="s">
        <v>185</v>
      </c>
      <c r="B37" s="60"/>
      <c r="C37" s="97">
        <f>IFERROR(VLOOKUP($A37,'Katalog-støjkilder'!$B$9:$F$20,2,FALSE),"")</f>
        <v>0</v>
      </c>
      <c r="D37" s="97">
        <f>IFERROR(VLOOKUP($A37,'Katalog-støjkilder'!$B$9:$F$20,3,FALSE),"")</f>
        <v>0</v>
      </c>
      <c r="E37" s="72">
        <f>IFERROR(VLOOKUP($A37,'Katalog-støjkilder'!$B$9:$F$20,4,FALSE),"")</f>
        <v>0</v>
      </c>
      <c r="F37" s="57"/>
      <c r="G37" s="54">
        <f t="shared" si="19"/>
        <v>0</v>
      </c>
      <c r="H37" s="58"/>
      <c r="I37" s="54">
        <f t="shared" si="20"/>
        <v>0</v>
      </c>
      <c r="J37" s="58"/>
      <c r="K37" s="54">
        <f t="shared" si="21"/>
        <v>0</v>
      </c>
      <c r="L37" s="58"/>
      <c r="M37" s="59">
        <f t="shared" si="22"/>
        <v>0</v>
      </c>
      <c r="O37" s="6">
        <f t="shared" si="14"/>
        <v>-99</v>
      </c>
      <c r="P37" s="4">
        <f t="shared" si="15"/>
        <v>-99</v>
      </c>
      <c r="Q37" s="4">
        <f t="shared" si="16"/>
        <v>-99</v>
      </c>
      <c r="R37" s="7">
        <f t="shared" si="17"/>
        <v>-99</v>
      </c>
      <c r="S37" s="6">
        <f t="shared" si="23"/>
        <v>-99</v>
      </c>
      <c r="T37" s="4">
        <f t="shared" si="24"/>
        <v>-99</v>
      </c>
      <c r="U37" s="4">
        <f t="shared" si="25"/>
        <v>-99</v>
      </c>
      <c r="V37" s="7">
        <f t="shared" si="26"/>
        <v>-99</v>
      </c>
      <c r="W37" s="6">
        <f t="shared" si="18"/>
        <v>1.2589254117941656E-10</v>
      </c>
      <c r="X37" s="4">
        <f t="shared" si="18"/>
        <v>1.2589254117941656E-10</v>
      </c>
      <c r="Y37" s="4">
        <f t="shared" si="18"/>
        <v>1.2589254117941656E-10</v>
      </c>
      <c r="Z37" s="7">
        <f t="shared" si="18"/>
        <v>1.2589254117941656E-10</v>
      </c>
    </row>
    <row r="38" spans="1:26">
      <c r="A38" s="164" t="s">
        <v>193</v>
      </c>
      <c r="B38" s="165"/>
      <c r="C38" s="165"/>
      <c r="D38" s="165"/>
      <c r="E38" s="165"/>
      <c r="F38" s="165"/>
      <c r="G38" s="165"/>
      <c r="H38" s="165"/>
      <c r="I38" s="165"/>
      <c r="J38" s="165"/>
      <c r="K38" s="165"/>
      <c r="L38" s="165"/>
      <c r="M38" s="166"/>
      <c r="O38" s="6">
        <f t="shared" si="14"/>
        <v>-99</v>
      </c>
      <c r="P38" s="4">
        <f t="shared" si="15"/>
        <v>-99</v>
      </c>
      <c r="Q38" s="4">
        <f t="shared" si="16"/>
        <v>-99</v>
      </c>
      <c r="R38" s="7">
        <f t="shared" si="17"/>
        <v>-99</v>
      </c>
      <c r="S38" s="6">
        <f t="shared" si="23"/>
        <v>-99</v>
      </c>
      <c r="T38" s="4">
        <f t="shared" si="24"/>
        <v>-99</v>
      </c>
      <c r="U38" s="4">
        <f t="shared" si="25"/>
        <v>-99</v>
      </c>
      <c r="V38" s="7">
        <f t="shared" si="26"/>
        <v>-99</v>
      </c>
      <c r="W38" s="6">
        <f t="shared" si="18"/>
        <v>1.2589254117941656E-10</v>
      </c>
      <c r="X38" s="4">
        <f t="shared" si="18"/>
        <v>1.2589254117941656E-10</v>
      </c>
      <c r="Y38" s="4">
        <f t="shared" si="18"/>
        <v>1.2589254117941656E-10</v>
      </c>
      <c r="Z38" s="7">
        <f t="shared" si="18"/>
        <v>1.2589254117941656E-10</v>
      </c>
    </row>
    <row r="39" spans="1:26" ht="12">
      <c r="A39" s="125" t="s">
        <v>185</v>
      </c>
      <c r="B39" s="60"/>
      <c r="C39" s="97">
        <f>IFERROR(VLOOKUP($A39,'Katalog-støjkilder'!$B$22:$F$55,2,FALSE),"")</f>
        <v>0</v>
      </c>
      <c r="D39" s="97">
        <f>IFERROR(VLOOKUP($A39,'Katalog-støjkilder'!$B$22:$F$55,3,FALSE),"")</f>
        <v>0</v>
      </c>
      <c r="E39" s="72">
        <f>IFERROR(VLOOKUP($A39,'Katalog-støjkilder'!$B$22:$F$55,4,FALSE),"")</f>
        <v>0</v>
      </c>
      <c r="F39" s="57"/>
      <c r="G39" s="54">
        <f t="shared" si="19"/>
        <v>0</v>
      </c>
      <c r="H39" s="58"/>
      <c r="I39" s="54">
        <f t="shared" si="20"/>
        <v>0</v>
      </c>
      <c r="J39" s="58"/>
      <c r="K39" s="54">
        <f t="shared" si="21"/>
        <v>0</v>
      </c>
      <c r="L39" s="58"/>
      <c r="M39" s="59">
        <f t="shared" si="22"/>
        <v>0</v>
      </c>
      <c r="O39" s="6">
        <f t="shared" si="14"/>
        <v>-99</v>
      </c>
      <c r="P39" s="4">
        <f t="shared" si="15"/>
        <v>-99</v>
      </c>
      <c r="Q39" s="4">
        <f t="shared" si="16"/>
        <v>-99</v>
      </c>
      <c r="R39" s="7">
        <f t="shared" si="17"/>
        <v>-99</v>
      </c>
      <c r="S39" s="6">
        <f t="shared" si="23"/>
        <v>-99</v>
      </c>
      <c r="T39" s="4">
        <f t="shared" si="24"/>
        <v>-99</v>
      </c>
      <c r="U39" s="4">
        <f t="shared" si="25"/>
        <v>-99</v>
      </c>
      <c r="V39" s="7">
        <f t="shared" si="26"/>
        <v>-99</v>
      </c>
      <c r="W39" s="6">
        <f t="shared" si="18"/>
        <v>1.2589254117941656E-10</v>
      </c>
      <c r="X39" s="4">
        <f t="shared" si="18"/>
        <v>1.2589254117941656E-10</v>
      </c>
      <c r="Y39" s="4">
        <f t="shared" si="18"/>
        <v>1.2589254117941656E-10</v>
      </c>
      <c r="Z39" s="7">
        <f t="shared" si="18"/>
        <v>1.2589254117941656E-10</v>
      </c>
    </row>
    <row r="40" spans="1:26" ht="12">
      <c r="A40" s="125" t="s">
        <v>185</v>
      </c>
      <c r="B40" s="60"/>
      <c r="C40" s="97">
        <f>IFERROR(VLOOKUP($A40,'Katalog-støjkilder'!$B$22:$F$55,2,FALSE),"")</f>
        <v>0</v>
      </c>
      <c r="D40" s="97">
        <f>IFERROR(VLOOKUP($A40,'Katalog-støjkilder'!$B$22:$F$55,3,FALSE),"")</f>
        <v>0</v>
      </c>
      <c r="E40" s="72">
        <f>IFERROR(VLOOKUP($A40,'Katalog-støjkilder'!$B$22:$F$55,4,FALSE),"")</f>
        <v>0</v>
      </c>
      <c r="F40" s="57"/>
      <c r="G40" s="54">
        <f t="shared" si="19"/>
        <v>0</v>
      </c>
      <c r="H40" s="58"/>
      <c r="I40" s="54">
        <f t="shared" si="20"/>
        <v>0</v>
      </c>
      <c r="J40" s="58"/>
      <c r="K40" s="54">
        <f t="shared" si="21"/>
        <v>0</v>
      </c>
      <c r="L40" s="58"/>
      <c r="M40" s="59">
        <f t="shared" si="22"/>
        <v>0</v>
      </c>
      <c r="O40" s="6">
        <f t="shared" si="14"/>
        <v>-99</v>
      </c>
      <c r="P40" s="4">
        <f t="shared" si="15"/>
        <v>-99</v>
      </c>
      <c r="Q40" s="4">
        <f t="shared" si="16"/>
        <v>-99</v>
      </c>
      <c r="R40" s="7">
        <f t="shared" si="17"/>
        <v>-99</v>
      </c>
      <c r="S40" s="6">
        <f t="shared" si="23"/>
        <v>-99</v>
      </c>
      <c r="T40" s="4">
        <f t="shared" si="24"/>
        <v>-99</v>
      </c>
      <c r="U40" s="4">
        <f t="shared" si="25"/>
        <v>-99</v>
      </c>
      <c r="V40" s="7">
        <f t="shared" si="26"/>
        <v>-99</v>
      </c>
      <c r="W40" s="6">
        <f t="shared" si="18"/>
        <v>1.2589254117941656E-10</v>
      </c>
      <c r="X40" s="4">
        <f t="shared" si="18"/>
        <v>1.2589254117941656E-10</v>
      </c>
      <c r="Y40" s="4">
        <f t="shared" si="18"/>
        <v>1.2589254117941656E-10</v>
      </c>
      <c r="Z40" s="7">
        <f t="shared" si="18"/>
        <v>1.2589254117941656E-10</v>
      </c>
    </row>
    <row r="41" spans="1:26" ht="12">
      <c r="A41" s="125" t="s">
        <v>185</v>
      </c>
      <c r="B41" s="60"/>
      <c r="C41" s="97">
        <f>IFERROR(VLOOKUP($A41,'Katalog-støjkilder'!$B$22:$F$55,2,FALSE),"")</f>
        <v>0</v>
      </c>
      <c r="D41" s="97">
        <f>IFERROR(VLOOKUP($A41,'Katalog-støjkilder'!$B$9:$F$153,3,FALSE),"")</f>
        <v>0</v>
      </c>
      <c r="E41" s="72">
        <f>IFERROR(VLOOKUP($A41,'Katalog-støjkilder'!$B$22:$F$55,4,FALSE),"")</f>
        <v>0</v>
      </c>
      <c r="F41" s="57"/>
      <c r="G41" s="54">
        <f t="shared" si="19"/>
        <v>0</v>
      </c>
      <c r="H41" s="58"/>
      <c r="I41" s="54">
        <f t="shared" si="20"/>
        <v>0</v>
      </c>
      <c r="J41" s="58"/>
      <c r="K41" s="54">
        <f t="shared" si="21"/>
        <v>0</v>
      </c>
      <c r="L41" s="58"/>
      <c r="M41" s="59">
        <f t="shared" si="22"/>
        <v>0</v>
      </c>
      <c r="O41" s="6">
        <f t="shared" si="14"/>
        <v>-99</v>
      </c>
      <c r="P41" s="4">
        <f t="shared" si="15"/>
        <v>-99</v>
      </c>
      <c r="Q41" s="4">
        <f t="shared" si="16"/>
        <v>-99</v>
      </c>
      <c r="R41" s="7">
        <f t="shared" si="17"/>
        <v>-99</v>
      </c>
      <c r="S41" s="6">
        <f t="shared" si="23"/>
        <v>-99</v>
      </c>
      <c r="T41" s="4">
        <f t="shared" si="24"/>
        <v>-99</v>
      </c>
      <c r="U41" s="4">
        <f t="shared" si="25"/>
        <v>-99</v>
      </c>
      <c r="V41" s="7">
        <f t="shared" si="26"/>
        <v>-99</v>
      </c>
      <c r="W41" s="6">
        <f t="shared" si="18"/>
        <v>1.2589254117941656E-10</v>
      </c>
      <c r="X41" s="4">
        <f t="shared" si="18"/>
        <v>1.2589254117941656E-10</v>
      </c>
      <c r="Y41" s="4">
        <f t="shared" si="18"/>
        <v>1.2589254117941656E-10</v>
      </c>
      <c r="Z41" s="7">
        <f t="shared" si="18"/>
        <v>1.2589254117941656E-10</v>
      </c>
    </row>
    <row r="42" spans="1:26">
      <c r="A42" s="164" t="s">
        <v>192</v>
      </c>
      <c r="B42" s="143"/>
      <c r="C42" s="143"/>
      <c r="D42" s="143"/>
      <c r="E42" s="143"/>
      <c r="F42" s="143"/>
      <c r="G42" s="143"/>
      <c r="H42" s="143"/>
      <c r="I42" s="143"/>
      <c r="J42" s="143"/>
      <c r="K42" s="143"/>
      <c r="L42" s="143"/>
      <c r="M42" s="144"/>
      <c r="O42" s="6">
        <f t="shared" si="14"/>
        <v>-99</v>
      </c>
      <c r="P42" s="4">
        <f t="shared" si="15"/>
        <v>-99</v>
      </c>
      <c r="Q42" s="4">
        <f t="shared" si="16"/>
        <v>-99</v>
      </c>
      <c r="R42" s="7">
        <f t="shared" si="17"/>
        <v>-99</v>
      </c>
      <c r="S42" s="6">
        <f t="shared" si="23"/>
        <v>-99</v>
      </c>
      <c r="T42" s="4">
        <f t="shared" si="24"/>
        <v>-99</v>
      </c>
      <c r="U42" s="4">
        <f t="shared" si="25"/>
        <v>-99</v>
      </c>
      <c r="V42" s="7">
        <f t="shared" si="26"/>
        <v>-99</v>
      </c>
      <c r="W42" s="6">
        <f t="shared" si="18"/>
        <v>1.2589254117941656E-10</v>
      </c>
      <c r="X42" s="4">
        <f t="shared" si="18"/>
        <v>1.2589254117941656E-10</v>
      </c>
      <c r="Y42" s="4">
        <f t="shared" si="18"/>
        <v>1.2589254117941656E-10</v>
      </c>
      <c r="Z42" s="7">
        <f t="shared" si="18"/>
        <v>1.2589254117941656E-10</v>
      </c>
    </row>
    <row r="43" spans="1:26" ht="12">
      <c r="A43" s="125" t="s">
        <v>185</v>
      </c>
      <c r="B43" s="60"/>
      <c r="C43" s="97">
        <f>IFERROR(VLOOKUP($A43,'Katalog-støjkilder'!$B$57:$F$92,2,FALSE),"")</f>
        <v>0</v>
      </c>
      <c r="D43" s="97">
        <f>IFERROR(VLOOKUP($A43,'Katalog-støjkilder'!$B$57:$F$92,3,FALSE),"")</f>
        <v>0</v>
      </c>
      <c r="E43" s="72">
        <f>IFERROR(VLOOKUP($A43,'Katalog-støjkilder'!$B$57:$F$92,4,FALSE),"")</f>
        <v>0</v>
      </c>
      <c r="F43" s="57"/>
      <c r="G43" s="54">
        <f t="shared" si="19"/>
        <v>0</v>
      </c>
      <c r="H43" s="58"/>
      <c r="I43" s="54">
        <f t="shared" si="20"/>
        <v>0</v>
      </c>
      <c r="J43" s="58"/>
      <c r="K43" s="54">
        <f t="shared" si="21"/>
        <v>0</v>
      </c>
      <c r="L43" s="58"/>
      <c r="M43" s="59">
        <f t="shared" si="22"/>
        <v>0</v>
      </c>
      <c r="O43" s="6">
        <f t="shared" si="14"/>
        <v>-99</v>
      </c>
      <c r="P43" s="4">
        <f t="shared" si="15"/>
        <v>-99</v>
      </c>
      <c r="Q43" s="4">
        <f t="shared" si="16"/>
        <v>-99</v>
      </c>
      <c r="R43" s="7">
        <f t="shared" si="17"/>
        <v>-99</v>
      </c>
      <c r="S43" s="6">
        <f t="shared" si="23"/>
        <v>-99</v>
      </c>
      <c r="T43" s="4">
        <f t="shared" si="24"/>
        <v>-99</v>
      </c>
      <c r="U43" s="4">
        <f t="shared" si="25"/>
        <v>-99</v>
      </c>
      <c r="V43" s="7">
        <f t="shared" si="26"/>
        <v>-99</v>
      </c>
      <c r="W43" s="6">
        <f t="shared" si="18"/>
        <v>1.2589254117941656E-10</v>
      </c>
      <c r="X43" s="4">
        <f t="shared" si="18"/>
        <v>1.2589254117941656E-10</v>
      </c>
      <c r="Y43" s="4">
        <f t="shared" si="18"/>
        <v>1.2589254117941656E-10</v>
      </c>
      <c r="Z43" s="7">
        <f t="shared" si="18"/>
        <v>1.2589254117941656E-10</v>
      </c>
    </row>
    <row r="44" spans="1:26" ht="12">
      <c r="A44" s="125" t="s">
        <v>185</v>
      </c>
      <c r="B44" s="60"/>
      <c r="C44" s="97">
        <f>IFERROR(VLOOKUP($A44,'Katalog-støjkilder'!$B$57:$F$92,2,FALSE),"")</f>
        <v>0</v>
      </c>
      <c r="D44" s="97">
        <f>IFERROR(VLOOKUP($A44,'Katalog-støjkilder'!$B$57:$F$92,3,FALSE),"")</f>
        <v>0</v>
      </c>
      <c r="E44" s="72">
        <f>IFERROR(VLOOKUP($A44,'Katalog-støjkilder'!$B$57:$F$92,4,FALSE),"")</f>
        <v>0</v>
      </c>
      <c r="F44" s="57"/>
      <c r="G44" s="54">
        <f t="shared" si="19"/>
        <v>0</v>
      </c>
      <c r="H44" s="58"/>
      <c r="I44" s="54">
        <f t="shared" si="20"/>
        <v>0</v>
      </c>
      <c r="J44" s="58"/>
      <c r="K44" s="54">
        <f t="shared" si="21"/>
        <v>0</v>
      </c>
      <c r="L44" s="58"/>
      <c r="M44" s="59">
        <f t="shared" si="22"/>
        <v>0</v>
      </c>
      <c r="O44" s="6">
        <f t="shared" si="14"/>
        <v>-99</v>
      </c>
      <c r="P44" s="4">
        <f t="shared" si="15"/>
        <v>-99</v>
      </c>
      <c r="Q44" s="4">
        <f t="shared" si="16"/>
        <v>-99</v>
      </c>
      <c r="R44" s="7">
        <f t="shared" si="17"/>
        <v>-99</v>
      </c>
      <c r="S44" s="6">
        <f t="shared" si="23"/>
        <v>-99</v>
      </c>
      <c r="T44" s="4">
        <f t="shared" si="24"/>
        <v>-99</v>
      </c>
      <c r="U44" s="4">
        <f t="shared" si="25"/>
        <v>-99</v>
      </c>
      <c r="V44" s="7">
        <f t="shared" si="26"/>
        <v>-99</v>
      </c>
      <c r="W44" s="6">
        <f t="shared" si="18"/>
        <v>1.2589254117941656E-10</v>
      </c>
      <c r="X44" s="4">
        <f t="shared" si="18"/>
        <v>1.2589254117941656E-10</v>
      </c>
      <c r="Y44" s="4">
        <f t="shared" si="18"/>
        <v>1.2589254117941656E-10</v>
      </c>
      <c r="Z44" s="7">
        <f t="shared" si="18"/>
        <v>1.2589254117941656E-10</v>
      </c>
    </row>
    <row r="45" spans="1:26" ht="12">
      <c r="A45" s="125" t="s">
        <v>185</v>
      </c>
      <c r="B45" s="60"/>
      <c r="C45" s="97">
        <f>IFERROR(VLOOKUP($A45,'Katalog-støjkilder'!$B$57:$F$92,2,FALSE),"")</f>
        <v>0</v>
      </c>
      <c r="D45" s="97">
        <f>IFERROR(VLOOKUP($A45,'Katalog-støjkilder'!$B$57:$F$92,3,FALSE),"")</f>
        <v>0</v>
      </c>
      <c r="E45" s="72">
        <f>IFERROR(VLOOKUP($A45,'Katalog-støjkilder'!$B$57:$F$92,4,FALSE),"")</f>
        <v>0</v>
      </c>
      <c r="F45" s="57"/>
      <c r="G45" s="54">
        <f t="shared" si="19"/>
        <v>0</v>
      </c>
      <c r="H45" s="58"/>
      <c r="I45" s="54">
        <f t="shared" si="20"/>
        <v>0</v>
      </c>
      <c r="J45" s="58"/>
      <c r="K45" s="54">
        <f t="shared" si="21"/>
        <v>0</v>
      </c>
      <c r="L45" s="58"/>
      <c r="M45" s="59">
        <f t="shared" si="22"/>
        <v>0</v>
      </c>
      <c r="O45" s="6">
        <f t="shared" si="14"/>
        <v>-99</v>
      </c>
      <c r="P45" s="4">
        <f t="shared" si="15"/>
        <v>-99</v>
      </c>
      <c r="Q45" s="4">
        <f t="shared" si="16"/>
        <v>-99</v>
      </c>
      <c r="R45" s="7">
        <f t="shared" si="17"/>
        <v>-99</v>
      </c>
      <c r="S45" s="6">
        <f t="shared" si="23"/>
        <v>-99</v>
      </c>
      <c r="T45" s="4">
        <f t="shared" si="24"/>
        <v>-99</v>
      </c>
      <c r="U45" s="4">
        <f t="shared" si="25"/>
        <v>-99</v>
      </c>
      <c r="V45" s="7">
        <f t="shared" si="26"/>
        <v>-99</v>
      </c>
      <c r="W45" s="6">
        <f t="shared" si="18"/>
        <v>1.2589254117941656E-10</v>
      </c>
      <c r="X45" s="4">
        <f t="shared" si="18"/>
        <v>1.2589254117941656E-10</v>
      </c>
      <c r="Y45" s="4">
        <f t="shared" si="18"/>
        <v>1.2589254117941656E-10</v>
      </c>
      <c r="Z45" s="7">
        <f t="shared" si="18"/>
        <v>1.2589254117941656E-10</v>
      </c>
    </row>
    <row r="46" spans="1:26">
      <c r="A46" s="164" t="s">
        <v>274</v>
      </c>
      <c r="B46" s="165"/>
      <c r="C46" s="165"/>
      <c r="D46" s="165"/>
      <c r="E46" s="165"/>
      <c r="F46" s="165"/>
      <c r="G46" s="165"/>
      <c r="H46" s="165"/>
      <c r="I46" s="165"/>
      <c r="J46" s="165"/>
      <c r="K46" s="165"/>
      <c r="L46" s="165"/>
      <c r="M46" s="166"/>
      <c r="O46" s="6">
        <f t="shared" si="14"/>
        <v>-99</v>
      </c>
      <c r="P46" s="4">
        <f t="shared" si="15"/>
        <v>-99</v>
      </c>
      <c r="Q46" s="4">
        <f t="shared" si="16"/>
        <v>-99</v>
      </c>
      <c r="R46" s="7">
        <f t="shared" si="17"/>
        <v>-99</v>
      </c>
      <c r="S46" s="6">
        <f t="shared" si="23"/>
        <v>-99</v>
      </c>
      <c r="T46" s="4">
        <f t="shared" si="24"/>
        <v>-99</v>
      </c>
      <c r="U46" s="4">
        <f t="shared" si="25"/>
        <v>-99</v>
      </c>
      <c r="V46" s="7">
        <f t="shared" si="26"/>
        <v>-99</v>
      </c>
      <c r="W46" s="6">
        <f t="shared" si="18"/>
        <v>1.2589254117941656E-10</v>
      </c>
      <c r="X46" s="4">
        <f t="shared" si="18"/>
        <v>1.2589254117941656E-10</v>
      </c>
      <c r="Y46" s="4">
        <f t="shared" si="18"/>
        <v>1.2589254117941656E-10</v>
      </c>
      <c r="Z46" s="7">
        <f t="shared" si="18"/>
        <v>1.2589254117941656E-10</v>
      </c>
    </row>
    <row r="47" spans="1:26" ht="12">
      <c r="A47" s="125" t="s">
        <v>185</v>
      </c>
      <c r="B47" s="60"/>
      <c r="C47" s="97">
        <f>IFERROR(VLOOKUP($A47,'Katalog-støjkilder'!$B$94:$F$133,2,FALSE),"")</f>
        <v>0</v>
      </c>
      <c r="D47" s="97">
        <f>IFERROR(VLOOKUP($A47,'Katalog-støjkilder'!$B$94:$F$133,3,FALSE),"")</f>
        <v>0</v>
      </c>
      <c r="E47" s="72">
        <f>IFERROR(VLOOKUP($A47,'Katalog-støjkilder'!$B$94:$F$133,4,FALSE),"")</f>
        <v>0</v>
      </c>
      <c r="F47" s="57"/>
      <c r="G47" s="54">
        <f t="shared" si="19"/>
        <v>0</v>
      </c>
      <c r="H47" s="58"/>
      <c r="I47" s="54">
        <f t="shared" si="20"/>
        <v>0</v>
      </c>
      <c r="J47" s="58"/>
      <c r="K47" s="54">
        <f t="shared" si="21"/>
        <v>0</v>
      </c>
      <c r="L47" s="58"/>
      <c r="M47" s="59">
        <f t="shared" si="22"/>
        <v>0</v>
      </c>
      <c r="O47" s="6">
        <f t="shared" si="14"/>
        <v>-99</v>
      </c>
      <c r="P47" s="4">
        <f t="shared" si="15"/>
        <v>-99</v>
      </c>
      <c r="Q47" s="4">
        <f t="shared" si="16"/>
        <v>-99</v>
      </c>
      <c r="R47" s="7">
        <f t="shared" si="17"/>
        <v>-99</v>
      </c>
      <c r="S47" s="6">
        <f t="shared" si="23"/>
        <v>-99</v>
      </c>
      <c r="T47" s="4">
        <f t="shared" si="24"/>
        <v>-99</v>
      </c>
      <c r="U47" s="4">
        <f t="shared" si="25"/>
        <v>-99</v>
      </c>
      <c r="V47" s="7">
        <f t="shared" si="26"/>
        <v>-99</v>
      </c>
      <c r="W47" s="6">
        <f t="shared" si="18"/>
        <v>1.2589254117941656E-10</v>
      </c>
      <c r="X47" s="4">
        <f t="shared" si="18"/>
        <v>1.2589254117941656E-10</v>
      </c>
      <c r="Y47" s="4">
        <f t="shared" si="18"/>
        <v>1.2589254117941656E-10</v>
      </c>
      <c r="Z47" s="7">
        <f t="shared" si="18"/>
        <v>1.2589254117941656E-10</v>
      </c>
    </row>
    <row r="48" spans="1:26" ht="12">
      <c r="A48" s="125" t="s">
        <v>185</v>
      </c>
      <c r="B48" s="60"/>
      <c r="C48" s="97">
        <f>IFERROR(VLOOKUP($A48,'Katalog-støjkilder'!$B$94:$F$133,2,FALSE),"")</f>
        <v>0</v>
      </c>
      <c r="D48" s="97">
        <f>IFERROR(VLOOKUP($A48,'Katalog-støjkilder'!$B$94:$F$133,3,FALSE),"")</f>
        <v>0</v>
      </c>
      <c r="E48" s="72">
        <f>IFERROR(VLOOKUP($A48,'Katalog-støjkilder'!$B$94:$F$133,4,FALSE),"")</f>
        <v>0</v>
      </c>
      <c r="F48" s="57"/>
      <c r="G48" s="54">
        <f t="shared" si="19"/>
        <v>0</v>
      </c>
      <c r="H48" s="58"/>
      <c r="I48" s="54">
        <f t="shared" si="20"/>
        <v>0</v>
      </c>
      <c r="J48" s="58"/>
      <c r="K48" s="54">
        <f t="shared" si="21"/>
        <v>0</v>
      </c>
      <c r="L48" s="58"/>
      <c r="M48" s="59">
        <f t="shared" si="22"/>
        <v>0</v>
      </c>
      <c r="O48" s="6">
        <f t="shared" si="14"/>
        <v>-99</v>
      </c>
      <c r="P48" s="4">
        <f t="shared" si="15"/>
        <v>-99</v>
      </c>
      <c r="Q48" s="4">
        <f t="shared" si="16"/>
        <v>-99</v>
      </c>
      <c r="R48" s="7">
        <f t="shared" si="17"/>
        <v>-99</v>
      </c>
      <c r="S48" s="6">
        <f t="shared" si="23"/>
        <v>-99</v>
      </c>
      <c r="T48" s="4">
        <f t="shared" si="24"/>
        <v>-99</v>
      </c>
      <c r="U48" s="4">
        <f t="shared" si="25"/>
        <v>-99</v>
      </c>
      <c r="V48" s="7">
        <f t="shared" si="26"/>
        <v>-99</v>
      </c>
      <c r="W48" s="6">
        <f t="shared" si="18"/>
        <v>1.2589254117941656E-10</v>
      </c>
      <c r="X48" s="4">
        <f t="shared" si="18"/>
        <v>1.2589254117941656E-10</v>
      </c>
      <c r="Y48" s="4">
        <f t="shared" si="18"/>
        <v>1.2589254117941656E-10</v>
      </c>
      <c r="Z48" s="7">
        <f t="shared" si="18"/>
        <v>1.2589254117941656E-10</v>
      </c>
    </row>
    <row r="49" spans="1:26" ht="12">
      <c r="A49" s="125" t="s">
        <v>185</v>
      </c>
      <c r="B49" s="60"/>
      <c r="C49" s="97">
        <f>IFERROR(VLOOKUP($A49,'Katalog-støjkilder'!$B$94:$F$133,2,FALSE),"")</f>
        <v>0</v>
      </c>
      <c r="D49" s="97">
        <f>IFERROR(VLOOKUP($A49,'Katalog-støjkilder'!$B$94:$F$133,3,FALSE),"")</f>
        <v>0</v>
      </c>
      <c r="E49" s="72" t="str">
        <f>IFERROR(VLOOKUP($A49,'Katalog-støjkilder'!$E$94:$F$133,4,FALSE),"")</f>
        <v/>
      </c>
      <c r="F49" s="57"/>
      <c r="G49" s="54">
        <f t="shared" si="19"/>
        <v>0</v>
      </c>
      <c r="H49" s="58"/>
      <c r="I49" s="54">
        <f t="shared" si="20"/>
        <v>0</v>
      </c>
      <c r="J49" s="58"/>
      <c r="K49" s="54">
        <f t="shared" si="21"/>
        <v>0</v>
      </c>
      <c r="L49" s="58"/>
      <c r="M49" s="59">
        <f t="shared" si="22"/>
        <v>0</v>
      </c>
      <c r="O49" s="6">
        <f t="shared" si="14"/>
        <v>-99</v>
      </c>
      <c r="P49" s="4">
        <f t="shared" si="15"/>
        <v>-99</v>
      </c>
      <c r="Q49" s="4">
        <f t="shared" si="16"/>
        <v>-99</v>
      </c>
      <c r="R49" s="7">
        <f t="shared" si="17"/>
        <v>-99</v>
      </c>
      <c r="S49" s="6">
        <f t="shared" si="23"/>
        <v>-99</v>
      </c>
      <c r="T49" s="4">
        <f t="shared" si="24"/>
        <v>-99</v>
      </c>
      <c r="U49" s="4">
        <f t="shared" si="25"/>
        <v>-99</v>
      </c>
      <c r="V49" s="7">
        <f t="shared" si="26"/>
        <v>-99</v>
      </c>
      <c r="W49" s="6">
        <f t="shared" si="18"/>
        <v>1.2589254117941656E-10</v>
      </c>
      <c r="X49" s="4">
        <f t="shared" si="18"/>
        <v>1.2589254117941656E-10</v>
      </c>
      <c r="Y49" s="4">
        <f t="shared" si="18"/>
        <v>1.2589254117941656E-10</v>
      </c>
      <c r="Z49" s="7">
        <f t="shared" si="18"/>
        <v>1.2589254117941656E-10</v>
      </c>
    </row>
    <row r="50" spans="1:26">
      <c r="A50" s="164" t="s">
        <v>296</v>
      </c>
      <c r="B50" s="165"/>
      <c r="C50" s="165"/>
      <c r="D50" s="165"/>
      <c r="E50" s="165"/>
      <c r="F50" s="165"/>
      <c r="G50" s="165"/>
      <c r="H50" s="165"/>
      <c r="I50" s="165"/>
      <c r="J50" s="165"/>
      <c r="K50" s="165"/>
      <c r="L50" s="165"/>
      <c r="M50" s="166"/>
      <c r="O50" s="6">
        <f t="shared" si="14"/>
        <v>-99</v>
      </c>
      <c r="P50" s="4">
        <f t="shared" si="15"/>
        <v>-99</v>
      </c>
      <c r="Q50" s="4">
        <f t="shared" si="16"/>
        <v>-99</v>
      </c>
      <c r="R50" s="7">
        <f t="shared" si="17"/>
        <v>-99</v>
      </c>
      <c r="S50" s="6">
        <f t="shared" si="23"/>
        <v>-99</v>
      </c>
      <c r="T50" s="4">
        <f t="shared" si="24"/>
        <v>-99</v>
      </c>
      <c r="U50" s="4">
        <f t="shared" si="25"/>
        <v>-99</v>
      </c>
      <c r="V50" s="7">
        <f t="shared" si="26"/>
        <v>-99</v>
      </c>
      <c r="W50" s="6">
        <f t="shared" ref="W50:Z60" si="27">10^(O50/10)</f>
        <v>1.2589254117941656E-10</v>
      </c>
      <c r="X50" s="4">
        <f t="shared" si="27"/>
        <v>1.2589254117941656E-10</v>
      </c>
      <c r="Y50" s="4">
        <f t="shared" si="27"/>
        <v>1.2589254117941656E-10</v>
      </c>
      <c r="Z50" s="7">
        <f t="shared" si="27"/>
        <v>1.2589254117941656E-10</v>
      </c>
    </row>
    <row r="51" spans="1:26" ht="12">
      <c r="A51" s="125" t="s">
        <v>185</v>
      </c>
      <c r="B51" s="60"/>
      <c r="C51" s="97">
        <f>IFERROR(VLOOKUP($A51,'Katalog-støjkilder'!$B$135:$F$161,2,FALSE),"")</f>
        <v>0</v>
      </c>
      <c r="D51" s="97">
        <f>IFERROR(VLOOKUP($A51,'Katalog-støjkilder'!$B$135:$F$161,3,FALSE),"")</f>
        <v>0</v>
      </c>
      <c r="E51" s="72">
        <f>IFERROR(VLOOKUP($A51,'Katalog-støjkilder'!$B$135:$F$161,4,FALSE),"")</f>
        <v>0</v>
      </c>
      <c r="F51" s="57"/>
      <c r="G51" s="54">
        <f t="shared" si="19"/>
        <v>0</v>
      </c>
      <c r="H51" s="58"/>
      <c r="I51" s="54">
        <f t="shared" si="20"/>
        <v>0</v>
      </c>
      <c r="J51" s="58"/>
      <c r="K51" s="54">
        <f t="shared" si="21"/>
        <v>0</v>
      </c>
      <c r="L51" s="58"/>
      <c r="M51" s="59">
        <f t="shared" si="22"/>
        <v>0</v>
      </c>
      <c r="O51" s="6">
        <f t="shared" si="14"/>
        <v>-99</v>
      </c>
      <c r="P51" s="4">
        <f t="shared" si="15"/>
        <v>-99</v>
      </c>
      <c r="Q51" s="4">
        <f t="shared" si="16"/>
        <v>-99</v>
      </c>
      <c r="R51" s="7">
        <f t="shared" si="17"/>
        <v>-99</v>
      </c>
      <c r="S51" s="6">
        <f t="shared" si="23"/>
        <v>-99</v>
      </c>
      <c r="T51" s="4">
        <f t="shared" si="24"/>
        <v>-99</v>
      </c>
      <c r="U51" s="4">
        <f t="shared" si="25"/>
        <v>-99</v>
      </c>
      <c r="V51" s="7">
        <f t="shared" si="26"/>
        <v>-99</v>
      </c>
      <c r="W51" s="6">
        <f t="shared" si="27"/>
        <v>1.2589254117941656E-10</v>
      </c>
      <c r="X51" s="4">
        <f t="shared" si="27"/>
        <v>1.2589254117941656E-10</v>
      </c>
      <c r="Y51" s="4">
        <f t="shared" si="27"/>
        <v>1.2589254117941656E-10</v>
      </c>
      <c r="Z51" s="7">
        <f t="shared" si="27"/>
        <v>1.2589254117941656E-10</v>
      </c>
    </row>
    <row r="52" spans="1:26" ht="12">
      <c r="A52" s="125" t="s">
        <v>185</v>
      </c>
      <c r="B52" s="60"/>
      <c r="C52" s="97">
        <f>IFERROR(VLOOKUP($A52,'Katalog-støjkilder'!$B$135:$F$161,2,FALSE),"")</f>
        <v>0</v>
      </c>
      <c r="D52" s="97">
        <f>IFERROR(VLOOKUP($A52,'Katalog-støjkilder'!$B$135:$F$161,3,FALSE),"")</f>
        <v>0</v>
      </c>
      <c r="E52" s="72">
        <f>IFERROR(VLOOKUP($A52,'Katalog-støjkilder'!$B$135:$F$161,4,FALSE),"")</f>
        <v>0</v>
      </c>
      <c r="F52" s="57"/>
      <c r="G52" s="54">
        <f t="shared" si="19"/>
        <v>0</v>
      </c>
      <c r="H52" s="58"/>
      <c r="I52" s="54">
        <f t="shared" si="20"/>
        <v>0</v>
      </c>
      <c r="J52" s="58"/>
      <c r="K52" s="54">
        <f t="shared" si="21"/>
        <v>0</v>
      </c>
      <c r="L52" s="58"/>
      <c r="M52" s="59">
        <f t="shared" si="22"/>
        <v>0</v>
      </c>
      <c r="O52" s="6">
        <f t="shared" si="14"/>
        <v>-99</v>
      </c>
      <c r="P52" s="4">
        <f t="shared" si="15"/>
        <v>-99</v>
      </c>
      <c r="Q52" s="4">
        <f t="shared" si="16"/>
        <v>-99</v>
      </c>
      <c r="R52" s="7">
        <f t="shared" si="17"/>
        <v>-99</v>
      </c>
      <c r="S52" s="6">
        <f t="shared" si="23"/>
        <v>-99</v>
      </c>
      <c r="T52" s="4">
        <f t="shared" si="24"/>
        <v>-99</v>
      </c>
      <c r="U52" s="4">
        <f t="shared" si="25"/>
        <v>-99</v>
      </c>
      <c r="V52" s="7">
        <f t="shared" si="26"/>
        <v>-99</v>
      </c>
      <c r="W52" s="6">
        <f t="shared" si="27"/>
        <v>1.2589254117941656E-10</v>
      </c>
      <c r="X52" s="4">
        <f t="shared" si="27"/>
        <v>1.2589254117941656E-10</v>
      </c>
      <c r="Y52" s="4">
        <f t="shared" si="27"/>
        <v>1.2589254117941656E-10</v>
      </c>
      <c r="Z52" s="7">
        <f t="shared" si="27"/>
        <v>1.2589254117941656E-10</v>
      </c>
    </row>
    <row r="53" spans="1:26" ht="12">
      <c r="A53" s="125" t="s">
        <v>185</v>
      </c>
      <c r="B53" s="60"/>
      <c r="C53" s="97">
        <f>IFERROR(VLOOKUP($A53,'Katalog-støjkilder'!$B$135:$F$161,2,FALSE),"")</f>
        <v>0</v>
      </c>
      <c r="D53" s="97">
        <f>IFERROR(VLOOKUP($A53,'Katalog-støjkilder'!$B$135:$F$161,3,FALSE),"")</f>
        <v>0</v>
      </c>
      <c r="E53" s="72">
        <f>IFERROR(VLOOKUP($A53,'Katalog-støjkilder'!$B$135:$F$161,4,FALSE),"")</f>
        <v>0</v>
      </c>
      <c r="F53" s="57"/>
      <c r="G53" s="54">
        <f t="shared" si="19"/>
        <v>0</v>
      </c>
      <c r="H53" s="58"/>
      <c r="I53" s="54">
        <f t="shared" si="20"/>
        <v>0</v>
      </c>
      <c r="J53" s="58"/>
      <c r="K53" s="54">
        <f t="shared" si="21"/>
        <v>0</v>
      </c>
      <c r="L53" s="58"/>
      <c r="M53" s="59">
        <f t="shared" si="22"/>
        <v>0</v>
      </c>
      <c r="O53" s="6">
        <f t="shared" si="14"/>
        <v>-99</v>
      </c>
      <c r="P53" s="4">
        <f t="shared" si="15"/>
        <v>-99</v>
      </c>
      <c r="Q53" s="4">
        <f t="shared" si="16"/>
        <v>-99</v>
      </c>
      <c r="R53" s="7">
        <f t="shared" si="17"/>
        <v>-99</v>
      </c>
      <c r="S53" s="6">
        <f t="shared" si="23"/>
        <v>-99</v>
      </c>
      <c r="T53" s="4">
        <f t="shared" si="24"/>
        <v>-99</v>
      </c>
      <c r="U53" s="4">
        <f t="shared" si="25"/>
        <v>-99</v>
      </c>
      <c r="V53" s="7">
        <f t="shared" si="26"/>
        <v>-99</v>
      </c>
      <c r="W53" s="6">
        <f t="shared" si="27"/>
        <v>1.2589254117941656E-10</v>
      </c>
      <c r="X53" s="4">
        <f t="shared" si="27"/>
        <v>1.2589254117941656E-10</v>
      </c>
      <c r="Y53" s="4">
        <f t="shared" si="27"/>
        <v>1.2589254117941656E-10</v>
      </c>
      <c r="Z53" s="7">
        <f t="shared" si="27"/>
        <v>1.2589254117941656E-10</v>
      </c>
    </row>
    <row r="54" spans="1:26">
      <c r="A54" s="164" t="s">
        <v>194</v>
      </c>
      <c r="B54" s="165"/>
      <c r="C54" s="165"/>
      <c r="D54" s="165"/>
      <c r="E54" s="165"/>
      <c r="F54" s="165"/>
      <c r="G54" s="165"/>
      <c r="H54" s="165"/>
      <c r="I54" s="165"/>
      <c r="J54" s="165"/>
      <c r="K54" s="165"/>
      <c r="L54" s="165"/>
      <c r="M54" s="166"/>
      <c r="O54" s="6">
        <f t="shared" si="14"/>
        <v>-99</v>
      </c>
      <c r="P54" s="4">
        <f t="shared" si="15"/>
        <v>-99</v>
      </c>
      <c r="Q54" s="4">
        <f t="shared" si="16"/>
        <v>-99</v>
      </c>
      <c r="R54" s="7">
        <f t="shared" si="17"/>
        <v>-99</v>
      </c>
      <c r="S54" s="6">
        <f t="shared" si="23"/>
        <v>-99</v>
      </c>
      <c r="T54" s="4">
        <f t="shared" si="24"/>
        <v>-99</v>
      </c>
      <c r="U54" s="4">
        <f t="shared" si="25"/>
        <v>-99</v>
      </c>
      <c r="V54" s="7">
        <f t="shared" si="26"/>
        <v>-99</v>
      </c>
      <c r="W54" s="6">
        <f t="shared" si="27"/>
        <v>1.2589254117941656E-10</v>
      </c>
      <c r="X54" s="4">
        <f t="shared" si="27"/>
        <v>1.2589254117941656E-10</v>
      </c>
      <c r="Y54" s="4">
        <f t="shared" si="27"/>
        <v>1.2589254117941656E-10</v>
      </c>
      <c r="Z54" s="7">
        <f t="shared" si="27"/>
        <v>1.2589254117941656E-10</v>
      </c>
    </row>
    <row r="55" spans="1:26" ht="12">
      <c r="A55" s="125" t="s">
        <v>185</v>
      </c>
      <c r="B55" s="60"/>
      <c r="C55" s="97">
        <f>IFERROR(VLOOKUP($A55,'Katalog-støjkilder'!$B$163:$F$186,2,FALSE),"")</f>
        <v>0</v>
      </c>
      <c r="D55" s="97">
        <f>IFERROR(VLOOKUP($A55,'Katalog-støjkilder'!$B$163:$F$186,3,FALSE),"")</f>
        <v>0</v>
      </c>
      <c r="E55" s="111">
        <f>IFERROR(VLOOKUP($A55,'Katalog-støjkilder'!$B$163:$F$186,4,FALSE),"")</f>
        <v>0</v>
      </c>
      <c r="F55" s="57"/>
      <c r="G55" s="54">
        <f t="shared" si="19"/>
        <v>0</v>
      </c>
      <c r="H55" s="58"/>
      <c r="I55" s="54">
        <f t="shared" si="20"/>
        <v>0</v>
      </c>
      <c r="J55" s="58"/>
      <c r="K55" s="54">
        <f t="shared" si="21"/>
        <v>0</v>
      </c>
      <c r="L55" s="58"/>
      <c r="M55" s="59">
        <f t="shared" si="22"/>
        <v>0</v>
      </c>
      <c r="O55" s="6">
        <f t="shared" si="14"/>
        <v>-99</v>
      </c>
      <c r="P55" s="4">
        <f t="shared" si="15"/>
        <v>-99</v>
      </c>
      <c r="Q55" s="4">
        <f t="shared" si="16"/>
        <v>-99</v>
      </c>
      <c r="R55" s="7">
        <f t="shared" si="17"/>
        <v>-99</v>
      </c>
      <c r="S55" s="6">
        <f t="shared" si="23"/>
        <v>-99</v>
      </c>
      <c r="T55" s="4">
        <f t="shared" si="24"/>
        <v>-99</v>
      </c>
      <c r="U55" s="4">
        <f t="shared" si="25"/>
        <v>-99</v>
      </c>
      <c r="V55" s="7">
        <f t="shared" si="26"/>
        <v>-99</v>
      </c>
      <c r="W55" s="6">
        <f t="shared" si="27"/>
        <v>1.2589254117941656E-10</v>
      </c>
      <c r="X55" s="4">
        <f t="shared" si="27"/>
        <v>1.2589254117941656E-10</v>
      </c>
      <c r="Y55" s="4">
        <f t="shared" si="27"/>
        <v>1.2589254117941656E-10</v>
      </c>
      <c r="Z55" s="7">
        <f t="shared" si="27"/>
        <v>1.2589254117941656E-10</v>
      </c>
    </row>
    <row r="56" spans="1:26" ht="12">
      <c r="A56" s="125" t="s">
        <v>185</v>
      </c>
      <c r="B56" s="60"/>
      <c r="C56" s="97">
        <f>IFERROR(VLOOKUP($A56,'Katalog-støjkilder'!$B$163:$F$186,2,FALSE),"")</f>
        <v>0</v>
      </c>
      <c r="D56" s="97">
        <f>IFERROR(VLOOKUP($A56,'Katalog-støjkilder'!$B$163:$F$186,3,FALSE),"")</f>
        <v>0</v>
      </c>
      <c r="E56" s="111">
        <f>IFERROR(VLOOKUP($A56,'Katalog-støjkilder'!$B$163:$F$186,4,FALSE),"")</f>
        <v>0</v>
      </c>
      <c r="F56" s="57"/>
      <c r="G56" s="54">
        <f t="shared" si="19"/>
        <v>0</v>
      </c>
      <c r="H56" s="58"/>
      <c r="I56" s="54">
        <f t="shared" si="20"/>
        <v>0</v>
      </c>
      <c r="J56" s="58"/>
      <c r="K56" s="54">
        <f t="shared" si="21"/>
        <v>0</v>
      </c>
      <c r="L56" s="58"/>
      <c r="M56" s="59">
        <f t="shared" si="22"/>
        <v>0</v>
      </c>
      <c r="O56" s="6">
        <f t="shared" si="14"/>
        <v>-99</v>
      </c>
      <c r="P56" s="4">
        <f t="shared" si="15"/>
        <v>-99</v>
      </c>
      <c r="Q56" s="4">
        <f t="shared" si="16"/>
        <v>-99</v>
      </c>
      <c r="R56" s="7">
        <f t="shared" si="17"/>
        <v>-99</v>
      </c>
      <c r="S56" s="6">
        <f t="shared" si="23"/>
        <v>-99</v>
      </c>
      <c r="T56" s="4">
        <f t="shared" si="24"/>
        <v>-99</v>
      </c>
      <c r="U56" s="4">
        <f t="shared" si="25"/>
        <v>-99</v>
      </c>
      <c r="V56" s="7">
        <f t="shared" si="26"/>
        <v>-99</v>
      </c>
      <c r="W56" s="6">
        <f t="shared" si="27"/>
        <v>1.2589254117941656E-10</v>
      </c>
      <c r="X56" s="4">
        <f t="shared" si="27"/>
        <v>1.2589254117941656E-10</v>
      </c>
      <c r="Y56" s="4">
        <f t="shared" si="27"/>
        <v>1.2589254117941656E-10</v>
      </c>
      <c r="Z56" s="7">
        <f t="shared" si="27"/>
        <v>1.2589254117941656E-10</v>
      </c>
    </row>
    <row r="57" spans="1:26" ht="12">
      <c r="A57" s="125" t="s">
        <v>185</v>
      </c>
      <c r="B57" s="60"/>
      <c r="C57" s="97">
        <f>IFERROR(VLOOKUP($A57,'Katalog-støjkilder'!$B$163:$F$186,2,FALSE),"")</f>
        <v>0</v>
      </c>
      <c r="D57" s="97">
        <f>IFERROR(VLOOKUP($A57,'Katalog-støjkilder'!$B$163:$F$186,3,FALSE),"")</f>
        <v>0</v>
      </c>
      <c r="E57" s="111">
        <f>IFERROR(VLOOKUP($A57,'Katalog-støjkilder'!$B$163:$F$186,4,FALSE),"")</f>
        <v>0</v>
      </c>
      <c r="F57" s="57"/>
      <c r="G57" s="54">
        <f t="shared" si="19"/>
        <v>0</v>
      </c>
      <c r="H57" s="58"/>
      <c r="I57" s="54">
        <f t="shared" si="20"/>
        <v>0</v>
      </c>
      <c r="J57" s="58"/>
      <c r="K57" s="54">
        <f t="shared" si="21"/>
        <v>0</v>
      </c>
      <c r="L57" s="58"/>
      <c r="M57" s="59">
        <f t="shared" si="22"/>
        <v>0</v>
      </c>
      <c r="O57" s="6">
        <f t="shared" si="14"/>
        <v>-99</v>
      </c>
      <c r="P57" s="4">
        <f t="shared" si="15"/>
        <v>-99</v>
      </c>
      <c r="Q57" s="4">
        <f t="shared" si="16"/>
        <v>-99</v>
      </c>
      <c r="R57" s="7">
        <f t="shared" si="17"/>
        <v>-99</v>
      </c>
      <c r="S57" s="6">
        <f t="shared" si="23"/>
        <v>-99</v>
      </c>
      <c r="T57" s="4">
        <f t="shared" si="24"/>
        <v>-99</v>
      </c>
      <c r="U57" s="4">
        <f t="shared" si="25"/>
        <v>-99</v>
      </c>
      <c r="V57" s="7">
        <f t="shared" si="26"/>
        <v>-99</v>
      </c>
      <c r="W57" s="6">
        <f t="shared" si="27"/>
        <v>1.2589254117941656E-10</v>
      </c>
      <c r="X57" s="4">
        <f t="shared" si="27"/>
        <v>1.2589254117941656E-10</v>
      </c>
      <c r="Y57" s="4">
        <f t="shared" si="27"/>
        <v>1.2589254117941656E-10</v>
      </c>
      <c r="Z57" s="7">
        <f t="shared" si="27"/>
        <v>1.2589254117941656E-10</v>
      </c>
    </row>
    <row r="58" spans="1:26">
      <c r="A58" s="164" t="s">
        <v>318</v>
      </c>
      <c r="B58" s="165"/>
      <c r="C58" s="165"/>
      <c r="D58" s="165"/>
      <c r="E58" s="165"/>
      <c r="F58" s="165"/>
      <c r="G58" s="165"/>
      <c r="H58" s="165"/>
      <c r="I58" s="165"/>
      <c r="J58" s="165"/>
      <c r="K58" s="165"/>
      <c r="L58" s="165"/>
      <c r="M58" s="166"/>
      <c r="O58" s="6">
        <f t="shared" si="14"/>
        <v>-99</v>
      </c>
      <c r="P58" s="4">
        <f t="shared" si="15"/>
        <v>-99</v>
      </c>
      <c r="Q58" s="4">
        <f t="shared" si="16"/>
        <v>-99</v>
      </c>
      <c r="R58" s="7">
        <f t="shared" si="17"/>
        <v>-99</v>
      </c>
      <c r="S58" s="6">
        <f t="shared" si="23"/>
        <v>-99</v>
      </c>
      <c r="T58" s="4">
        <f t="shared" si="24"/>
        <v>-99</v>
      </c>
      <c r="U58" s="4">
        <f t="shared" si="25"/>
        <v>-99</v>
      </c>
      <c r="V58" s="7">
        <f t="shared" si="26"/>
        <v>-99</v>
      </c>
      <c r="W58" s="6">
        <f t="shared" si="27"/>
        <v>1.2589254117941656E-10</v>
      </c>
      <c r="X58" s="4">
        <f t="shared" si="27"/>
        <v>1.2589254117941656E-10</v>
      </c>
      <c r="Y58" s="4">
        <f t="shared" si="27"/>
        <v>1.2589254117941656E-10</v>
      </c>
      <c r="Z58" s="7">
        <f t="shared" si="27"/>
        <v>1.2589254117941656E-10</v>
      </c>
    </row>
    <row r="59" spans="1:26" ht="12">
      <c r="A59" s="125" t="s">
        <v>185</v>
      </c>
      <c r="B59" s="60"/>
      <c r="C59" s="97">
        <f>IFERROR(VLOOKUP($A59,'Katalog-støjkilder'!$B$188:$F$194,2,FALSE),"")</f>
        <v>0</v>
      </c>
      <c r="D59" s="97">
        <f>IFERROR(VLOOKUP($A59,'Katalog-støjkilder'!$B$188:$F$194,3,FALSE),"")</f>
        <v>0</v>
      </c>
      <c r="E59" s="111">
        <f>IFERROR(VLOOKUP($A59,'Katalog-støjkilder'!$B$188:$F$194,4,FALSE),"")</f>
        <v>0</v>
      </c>
      <c r="F59" s="57"/>
      <c r="G59" s="54">
        <f t="shared" si="19"/>
        <v>0</v>
      </c>
      <c r="H59" s="58"/>
      <c r="I59" s="54">
        <f t="shared" si="20"/>
        <v>0</v>
      </c>
      <c r="J59" s="58"/>
      <c r="K59" s="54">
        <f t="shared" si="21"/>
        <v>0</v>
      </c>
      <c r="L59" s="58"/>
      <c r="M59" s="59">
        <f t="shared" si="22"/>
        <v>0</v>
      </c>
      <c r="O59" s="6">
        <f t="shared" si="14"/>
        <v>-99</v>
      </c>
      <c r="P59" s="4">
        <f t="shared" si="15"/>
        <v>-99</v>
      </c>
      <c r="Q59" s="4">
        <f t="shared" si="16"/>
        <v>-99</v>
      </c>
      <c r="R59" s="7">
        <f t="shared" si="17"/>
        <v>-99</v>
      </c>
      <c r="S59" s="6">
        <f t="shared" si="23"/>
        <v>-99</v>
      </c>
      <c r="T59" s="4">
        <f t="shared" si="24"/>
        <v>-99</v>
      </c>
      <c r="U59" s="4">
        <f t="shared" si="25"/>
        <v>-99</v>
      </c>
      <c r="V59" s="7">
        <f t="shared" si="26"/>
        <v>-99</v>
      </c>
      <c r="W59" s="6">
        <f t="shared" si="27"/>
        <v>1.2589254117941656E-10</v>
      </c>
      <c r="X59" s="4">
        <f t="shared" si="27"/>
        <v>1.2589254117941656E-10</v>
      </c>
      <c r="Y59" s="4">
        <f t="shared" si="27"/>
        <v>1.2589254117941656E-10</v>
      </c>
      <c r="Z59" s="7">
        <f t="shared" si="27"/>
        <v>1.2589254117941656E-10</v>
      </c>
    </row>
    <row r="60" spans="1:26" ht="12">
      <c r="A60" s="125" t="s">
        <v>185</v>
      </c>
      <c r="B60" s="60"/>
      <c r="C60" s="97">
        <f>IFERROR(VLOOKUP($A60,'Katalog-støjkilder'!$B$188:$F$194,2,FALSE),"")</f>
        <v>0</v>
      </c>
      <c r="D60" s="97">
        <f>IFERROR(VLOOKUP($A60,'Katalog-støjkilder'!$B$188:$F$194,3,FALSE),"")</f>
        <v>0</v>
      </c>
      <c r="E60" s="111">
        <f>IFERROR(VLOOKUP($A60,'Katalog-støjkilder'!$B$188:$F$194,4,FALSE),"")</f>
        <v>0</v>
      </c>
      <c r="F60" s="57"/>
      <c r="G60" s="54">
        <f t="shared" si="19"/>
        <v>0</v>
      </c>
      <c r="H60" s="58"/>
      <c r="I60" s="54">
        <f t="shared" si="20"/>
        <v>0</v>
      </c>
      <c r="J60" s="58"/>
      <c r="K60" s="54">
        <f t="shared" si="21"/>
        <v>0</v>
      </c>
      <c r="L60" s="58"/>
      <c r="M60" s="59">
        <f t="shared" si="22"/>
        <v>0</v>
      </c>
      <c r="O60" s="6">
        <f t="shared" si="14"/>
        <v>-99</v>
      </c>
      <c r="P60" s="4">
        <f t="shared" si="15"/>
        <v>-99</v>
      </c>
      <c r="Q60" s="4">
        <f t="shared" si="16"/>
        <v>-99</v>
      </c>
      <c r="R60" s="7">
        <f t="shared" si="17"/>
        <v>-99</v>
      </c>
      <c r="S60" s="6">
        <f t="shared" si="23"/>
        <v>-99</v>
      </c>
      <c r="T60" s="4">
        <f t="shared" si="24"/>
        <v>-99</v>
      </c>
      <c r="U60" s="4">
        <f t="shared" si="25"/>
        <v>-99</v>
      </c>
      <c r="V60" s="7">
        <f t="shared" si="26"/>
        <v>-99</v>
      </c>
      <c r="W60" s="6">
        <f t="shared" si="27"/>
        <v>1.2589254117941656E-10</v>
      </c>
      <c r="X60" s="4">
        <f t="shared" si="27"/>
        <v>1.2589254117941656E-10</v>
      </c>
      <c r="Y60" s="4">
        <f t="shared" si="27"/>
        <v>1.2589254117941656E-10</v>
      </c>
      <c r="Z60" s="7">
        <f t="shared" si="27"/>
        <v>1.2589254117941656E-10</v>
      </c>
    </row>
    <row r="61" spans="1:26">
      <c r="F61" s="59" t="s">
        <v>218</v>
      </c>
      <c r="G61" s="54">
        <f>SUM(G32:G60)</f>
        <v>0</v>
      </c>
      <c r="H61" s="59" t="s">
        <v>218</v>
      </c>
      <c r="I61" s="54">
        <f>SUM(I32:I60)</f>
        <v>0</v>
      </c>
      <c r="J61" s="59" t="s">
        <v>218</v>
      </c>
      <c r="K61" s="54">
        <f>SUM(K32:K60)</f>
        <v>0</v>
      </c>
      <c r="L61" s="59" t="s">
        <v>218</v>
      </c>
      <c r="M61" s="59">
        <f>SUM(M32:M60)</f>
        <v>0</v>
      </c>
    </row>
    <row r="62" spans="1:26" ht="18">
      <c r="A62" s="154" t="s">
        <v>42</v>
      </c>
      <c r="B62" s="143"/>
      <c r="C62" s="143"/>
      <c r="D62" s="143"/>
      <c r="E62" s="143"/>
      <c r="F62" s="143"/>
      <c r="G62" s="143"/>
      <c r="H62" s="143"/>
      <c r="I62" s="143"/>
      <c r="J62" s="143"/>
      <c r="K62" s="143"/>
      <c r="L62" s="143"/>
      <c r="M62" s="144"/>
    </row>
    <row r="64" spans="1:26" ht="15.75" customHeight="1">
      <c r="A64" s="40" t="s">
        <v>28</v>
      </c>
      <c r="B64" s="41"/>
      <c r="C64" s="11"/>
      <c r="D64" s="11"/>
      <c r="E64" s="12"/>
      <c r="F64" s="170" t="str">
        <f>IF(F13&lt;=0," ",IF(LOG(W64)&lt;0," ",10*LOG(W64)))</f>
        <v xml:space="preserve"> </v>
      </c>
      <c r="G64" s="171"/>
      <c r="H64" s="170" t="str">
        <f>IF(H13&lt;=0," ",IF(LOG(X64)&lt;0," ",10*LOG(X64)))</f>
        <v xml:space="preserve"> </v>
      </c>
      <c r="I64" s="171"/>
      <c r="J64" s="170" t="str">
        <f>IF(J13&lt;=0," ",IF(LOG(Y64)&lt;0," ",10*LOG(Y64)))</f>
        <v xml:space="preserve"> </v>
      </c>
      <c r="K64" s="171"/>
      <c r="L64" s="172" t="str">
        <f>IF(L13&lt;=0," ",IF(LOG(Z64)&lt;0," ",10*LOG(Z64)))</f>
        <v xml:space="preserve"> </v>
      </c>
      <c r="M64" s="170"/>
      <c r="W64" s="50">
        <f>SUM(W22:W26)</f>
        <v>6.2946270589708282E-10</v>
      </c>
      <c r="X64" s="51">
        <f>SUM(X22:X26)</f>
        <v>6.2946270589708282E-10</v>
      </c>
      <c r="Y64" s="51">
        <f>SUM(Y22:Y26)</f>
        <v>6.2946270589708282E-10</v>
      </c>
      <c r="Z64" s="52">
        <f>SUM(Z22:Z26)</f>
        <v>6.2946270589708282E-10</v>
      </c>
    </row>
    <row r="65" spans="1:26" ht="9.75" customHeight="1">
      <c r="A65" s="2"/>
      <c r="B65" s="2"/>
      <c r="F65" s="19"/>
      <c r="G65" s="19"/>
      <c r="H65" s="19"/>
      <c r="I65" s="19"/>
      <c r="J65" s="19"/>
      <c r="K65" s="19"/>
      <c r="L65" s="19"/>
      <c r="M65" s="19"/>
      <c r="W65" s="6"/>
      <c r="X65" s="4"/>
      <c r="Y65" s="4"/>
      <c r="Z65" s="7"/>
    </row>
    <row r="66" spans="1:26" ht="15.75" customHeight="1">
      <c r="A66" s="40" t="s">
        <v>29</v>
      </c>
      <c r="B66" s="41"/>
      <c r="C66" s="11"/>
      <c r="D66" s="11"/>
      <c r="E66" s="12"/>
      <c r="F66" s="170" t="str">
        <f>IF(F14&lt;=0," ",IF(LOG(W66)&lt;0," ",10*LOG(W66)))</f>
        <v xml:space="preserve"> </v>
      </c>
      <c r="G66" s="171"/>
      <c r="H66" s="170" t="str">
        <f>IF(H14&lt;=0," ",IF(LOG(X66)&lt;0," ",10*LOG(X66)))</f>
        <v xml:space="preserve"> </v>
      </c>
      <c r="I66" s="171"/>
      <c r="J66" s="170" t="str">
        <f>IF(J14&lt;=0," ",IF(LOG(Y66)&lt;0," ",10*LOG(Y66)))</f>
        <v xml:space="preserve"> </v>
      </c>
      <c r="K66" s="171"/>
      <c r="L66" s="172" t="str">
        <f>IF(L14&lt;=0," ",IF(LOG(Z66)&lt;0," ",10*LOG(Z66)))</f>
        <v xml:space="preserve"> </v>
      </c>
      <c r="M66" s="170"/>
      <c r="W66" s="6">
        <f>SUM(W30:W60)</f>
        <v>3.7767762353824947E-9</v>
      </c>
      <c r="X66" s="4">
        <f>SUM(X30:X60)</f>
        <v>3.7767762353824947E-9</v>
      </c>
      <c r="Y66" s="4">
        <f>SUM(Y30:Y60)</f>
        <v>3.7767762353824947E-9</v>
      </c>
      <c r="Z66" s="7">
        <f>SUM(Z30:Z60)</f>
        <v>3.7767762353824947E-9</v>
      </c>
    </row>
    <row r="67" spans="1:26" ht="9.75" customHeight="1">
      <c r="A67" s="2"/>
      <c r="B67" s="2"/>
      <c r="F67" s="19"/>
      <c r="G67" s="19"/>
      <c r="H67" s="19"/>
      <c r="I67" s="19"/>
      <c r="J67" s="19"/>
      <c r="K67" s="19"/>
      <c r="L67" s="19"/>
      <c r="M67" s="19"/>
      <c r="W67" s="6"/>
      <c r="X67" s="4"/>
      <c r="Y67" s="4"/>
      <c r="Z67" s="7"/>
    </row>
    <row r="68" spans="1:26" ht="15.75" customHeight="1">
      <c r="A68" s="40" t="s">
        <v>30</v>
      </c>
      <c r="B68" s="41"/>
      <c r="C68" s="11"/>
      <c r="D68" s="11"/>
      <c r="E68" s="12"/>
      <c r="F68" s="170" t="str">
        <f>IF(10*LOG(W68)&lt;0," ",10*LOG(W68))</f>
        <v xml:space="preserve"> </v>
      </c>
      <c r="G68" s="171"/>
      <c r="H68" s="170" t="str">
        <f>IF(10*LOG(X68)&lt;0," ",10*LOG(X68))</f>
        <v xml:space="preserve"> </v>
      </c>
      <c r="I68" s="171"/>
      <c r="J68" s="170" t="str">
        <f>IF(10*LOG(Y68)&lt;0," ",10*LOG(Y68))</f>
        <v xml:space="preserve"> </v>
      </c>
      <c r="K68" s="171"/>
      <c r="L68" s="172" t="str">
        <f>IF(10*LOG(Z68)&lt;0," ",10*LOG(Z68))</f>
        <v xml:space="preserve"> </v>
      </c>
      <c r="M68" s="170"/>
      <c r="W68" s="8">
        <f>W64+W66</f>
        <v>4.4062389412795774E-9</v>
      </c>
      <c r="X68" s="18">
        <f>X64+X66</f>
        <v>4.4062389412795774E-9</v>
      </c>
      <c r="Y68" s="18">
        <f>Y64+Y66</f>
        <v>4.4062389412795774E-9</v>
      </c>
      <c r="Z68" s="9">
        <f>Z64+Z66</f>
        <v>4.4062389412795774E-9</v>
      </c>
    </row>
    <row r="69" spans="1:26" ht="9.75" customHeight="1">
      <c r="A69" s="2"/>
      <c r="B69" s="2"/>
      <c r="F69" s="2"/>
      <c r="G69" s="2"/>
      <c r="H69" s="2"/>
      <c r="I69" s="2"/>
      <c r="J69" s="2"/>
      <c r="K69" s="2"/>
      <c r="L69" s="2"/>
      <c r="M69" s="2"/>
    </row>
    <row r="70" spans="1:26" ht="15.75" customHeight="1">
      <c r="A70" s="40" t="s">
        <v>31</v>
      </c>
      <c r="B70" s="41"/>
      <c r="C70" s="11"/>
      <c r="D70" s="11"/>
      <c r="E70" s="12"/>
      <c r="F70" s="180">
        <f>IF($K$8&lt;=1,5,0)</f>
        <v>5</v>
      </c>
      <c r="G70" s="181"/>
      <c r="H70" s="180">
        <f>IF($K$8&lt;=1,5,0)</f>
        <v>5</v>
      </c>
      <c r="I70" s="181"/>
      <c r="J70" s="180">
        <f>IF($K$8&lt;=1,5,0)</f>
        <v>5</v>
      </c>
      <c r="K70" s="181"/>
      <c r="L70" s="182">
        <f>IF($K$8&lt;=1,5,0)</f>
        <v>5</v>
      </c>
      <c r="M70" s="180"/>
    </row>
    <row r="71" spans="1:26" ht="9.75" customHeight="1">
      <c r="A71" s="2"/>
      <c r="B71" s="2"/>
      <c r="F71" s="2"/>
      <c r="G71" s="2"/>
      <c r="H71" s="2"/>
      <c r="I71" s="2"/>
      <c r="J71" s="2"/>
      <c r="K71" s="2"/>
      <c r="L71" s="2"/>
      <c r="M71" s="2"/>
    </row>
    <row r="72" spans="1:26" ht="15.75" customHeight="1">
      <c r="A72" s="173" t="s">
        <v>221</v>
      </c>
      <c r="B72" s="143"/>
      <c r="C72" s="143"/>
      <c r="D72" s="143"/>
      <c r="E72" s="144"/>
      <c r="F72" s="174" t="str">
        <f>IF(10*LOG(W68)&lt;0,"",F68+F70)</f>
        <v/>
      </c>
      <c r="G72" s="175"/>
      <c r="H72" s="174" t="str">
        <f>IF(10*LOG(X68)&lt;0,"",H68+H70)</f>
        <v/>
      </c>
      <c r="I72" s="175"/>
      <c r="J72" s="174" t="str">
        <f>IF(10*LOG(Y68)&lt;0,"",J68+J70)</f>
        <v/>
      </c>
      <c r="K72" s="175"/>
      <c r="L72" s="176" t="str">
        <f>IF(10*LOG(Z68)&lt;0,"",L68+L70)</f>
        <v/>
      </c>
      <c r="M72" s="177"/>
      <c r="O72" s="81">
        <f>IF(F72="",0,IFERROR(F72,0))</f>
        <v>0</v>
      </c>
      <c r="P72" s="82">
        <f>IF(H72="",0,IFERROR(H72,0))</f>
        <v>0</v>
      </c>
      <c r="Q72" s="82">
        <f>IF(J72="",0,IFERROR(J72,0))</f>
        <v>0</v>
      </c>
      <c r="R72" s="82">
        <f>IF(L72="",0,IFERROR(L72,0))</f>
        <v>0</v>
      </c>
      <c r="S72" s="81">
        <f>10^(O72/10)</f>
        <v>1</v>
      </c>
      <c r="T72" s="82">
        <f>10^(Q72/10)</f>
        <v>1</v>
      </c>
      <c r="U72" s="82">
        <f>10^(Q72/10)</f>
        <v>1</v>
      </c>
      <c r="V72" s="83">
        <f>10^(R72/10)</f>
        <v>1</v>
      </c>
      <c r="W72" s="83">
        <f>SUM(S72:V72)</f>
        <v>4</v>
      </c>
    </row>
    <row r="73" spans="1:26" ht="15.75" customHeight="1">
      <c r="A73" s="173" t="s">
        <v>216</v>
      </c>
      <c r="B73" s="143"/>
      <c r="C73" s="143"/>
      <c r="D73" s="143"/>
      <c r="E73" s="144"/>
      <c r="F73" s="178">
        <f>IFERROR(O73,"")</f>
        <v>6.0205999132796242</v>
      </c>
      <c r="G73" s="179"/>
      <c r="H73" s="179"/>
      <c r="I73" s="179"/>
      <c r="J73" s="179"/>
      <c r="K73" s="179"/>
      <c r="L73" s="179"/>
      <c r="M73" s="176"/>
      <c r="O73" s="84">
        <f>10*LOG(W72)</f>
        <v>6.0205999132796242</v>
      </c>
      <c r="S73" s="80" t="s">
        <v>217</v>
      </c>
    </row>
    <row r="74" spans="1:26" ht="15.75" customHeight="1">
      <c r="A74" s="40" t="s">
        <v>32</v>
      </c>
      <c r="B74" s="41"/>
      <c r="C74" s="11"/>
      <c r="D74" s="11"/>
      <c r="E74" s="12"/>
      <c r="F74" s="170" t="str">
        <f>IF(S74&lt;0," ",S74)</f>
        <v xml:space="preserve"> </v>
      </c>
      <c r="G74" s="171"/>
      <c r="H74" s="170" t="str">
        <f>IF(T74&lt;0," ",T74)</f>
        <v xml:space="preserve"> </v>
      </c>
      <c r="I74" s="171"/>
      <c r="J74" s="170" t="str">
        <f>IF(U74&lt;0," ",U74)</f>
        <v xml:space="preserve"> </v>
      </c>
      <c r="K74" s="171"/>
      <c r="L74" s="172" t="str">
        <f>IF(V74&lt;0," ",V74)</f>
        <v xml:space="preserve"> </v>
      </c>
      <c r="M74" s="170"/>
      <c r="S74" s="50">
        <f>MAX(S22:S26)</f>
        <v>-99</v>
      </c>
      <c r="T74" s="51">
        <f>MAX(T22:T26)</f>
        <v>-99</v>
      </c>
      <c r="U74" s="51">
        <f>MAX(U22:U26)</f>
        <v>-99</v>
      </c>
      <c r="V74" s="52">
        <f>MAX(V22:V26)</f>
        <v>-99</v>
      </c>
    </row>
    <row r="75" spans="1:26" ht="9.75" customHeight="1">
      <c r="A75" s="2"/>
      <c r="B75" s="2"/>
      <c r="F75" s="19"/>
      <c r="G75" s="19"/>
      <c r="H75" s="19"/>
      <c r="I75" s="19"/>
      <c r="J75" s="19"/>
      <c r="K75" s="19"/>
      <c r="L75" s="19"/>
      <c r="M75" s="19"/>
      <c r="S75" s="6"/>
      <c r="T75" s="4"/>
      <c r="U75" s="4"/>
      <c r="V75" s="7"/>
    </row>
    <row r="76" spans="1:26" ht="15.75" customHeight="1">
      <c r="A76" s="40" t="s">
        <v>33</v>
      </c>
      <c r="B76" s="41"/>
      <c r="C76" s="11"/>
      <c r="D76" s="11"/>
      <c r="E76" s="12"/>
      <c r="F76" s="170" t="str">
        <f>IF(S76&lt;0," ",S76)</f>
        <v xml:space="preserve"> </v>
      </c>
      <c r="G76" s="171"/>
      <c r="H76" s="170" t="str">
        <f>IF(T76&lt;0," ",T76)</f>
        <v xml:space="preserve"> </v>
      </c>
      <c r="I76" s="171"/>
      <c r="J76" s="170" t="str">
        <f>IF(U76&lt;0," ",U76)</f>
        <v xml:space="preserve"> </v>
      </c>
      <c r="K76" s="171"/>
      <c r="L76" s="172" t="str">
        <f>IF(V76&lt;0," ",V76)</f>
        <v xml:space="preserve"> </v>
      </c>
      <c r="M76" s="170"/>
      <c r="S76" s="8">
        <f>MAX(S30:S60)</f>
        <v>-99</v>
      </c>
      <c r="T76" s="18">
        <f>MAX(T30:T60)</f>
        <v>-99</v>
      </c>
      <c r="U76" s="18">
        <f>MAX(U30:U60)</f>
        <v>-99</v>
      </c>
      <c r="V76" s="9">
        <f>MAX(V30:V60)</f>
        <v>-99</v>
      </c>
    </row>
    <row r="77" spans="1:26" ht="9.75" customHeight="1">
      <c r="A77" s="2"/>
      <c r="B77" s="2"/>
      <c r="F77" s="2"/>
      <c r="G77" s="2"/>
      <c r="H77" s="2"/>
      <c r="I77" s="2"/>
      <c r="J77" s="2"/>
      <c r="K77" s="2"/>
      <c r="L77" s="2"/>
      <c r="M77" s="2"/>
    </row>
    <row r="78" spans="1:26" ht="15.75" customHeight="1">
      <c r="A78" s="20" t="s">
        <v>34</v>
      </c>
      <c r="B78" s="21"/>
      <c r="C78" s="22"/>
      <c r="D78" s="22"/>
      <c r="E78" s="23"/>
      <c r="F78" s="174" t="str">
        <f>IF(MAX(F74:G76)=0," ",MAX(F74:G76))</f>
        <v xml:space="preserve"> </v>
      </c>
      <c r="G78" s="175"/>
      <c r="H78" s="174" t="str">
        <f>IF(MAX(H74:I76)=0," ",MAX(H74:I76))</f>
        <v xml:space="preserve"> </v>
      </c>
      <c r="I78" s="175"/>
      <c r="J78" s="174" t="str">
        <f>IF(MAX(J74:K76)=0," ",MAX(J74:K76))</f>
        <v xml:space="preserve"> </v>
      </c>
      <c r="K78" s="175"/>
      <c r="L78" s="176" t="str">
        <f>IF(MAX(L74:M76)=0," ",MAX(L74:M76))</f>
        <v xml:space="preserve"> </v>
      </c>
      <c r="M78" s="177"/>
    </row>
    <row r="81" spans="1:1">
      <c r="A81" t="str">
        <f>'Beregningsmodel forenklet'!A81</f>
        <v xml:space="preserve">Beregningsmodellen er udarbejdet for Miljøstyrelsen af Rambøll 2014.08.26. Miljøstyrelsen og Rambøll påtager sig intet ansvar for evt. fejl og mangler. </v>
      </c>
    </row>
  </sheetData>
  <sheetProtection sheet="1" objects="1" scenarios="1"/>
  <mergeCells count="105">
    <mergeCell ref="F78:G78"/>
    <mergeCell ref="H78:I78"/>
    <mergeCell ref="J78:K78"/>
    <mergeCell ref="L78:M78"/>
    <mergeCell ref="F74:G74"/>
    <mergeCell ref="H74:I74"/>
    <mergeCell ref="J74:K74"/>
    <mergeCell ref="L74:M74"/>
    <mergeCell ref="F76:G76"/>
    <mergeCell ref="H76:I76"/>
    <mergeCell ref="J76:K76"/>
    <mergeCell ref="L76:M76"/>
    <mergeCell ref="A72:E72"/>
    <mergeCell ref="F72:G72"/>
    <mergeCell ref="H72:I72"/>
    <mergeCell ref="J72:K72"/>
    <mergeCell ref="L72:M72"/>
    <mergeCell ref="A73:E73"/>
    <mergeCell ref="F73:M73"/>
    <mergeCell ref="F68:G68"/>
    <mergeCell ref="H68:I68"/>
    <mergeCell ref="J68:K68"/>
    <mergeCell ref="L68:M68"/>
    <mergeCell ref="F70:G70"/>
    <mergeCell ref="H70:I70"/>
    <mergeCell ref="J70:K70"/>
    <mergeCell ref="L70:M70"/>
    <mergeCell ref="A62:M62"/>
    <mergeCell ref="F64:G64"/>
    <mergeCell ref="H64:I64"/>
    <mergeCell ref="J64:K64"/>
    <mergeCell ref="L64:M64"/>
    <mergeCell ref="F66:G66"/>
    <mergeCell ref="H66:I66"/>
    <mergeCell ref="J66:K66"/>
    <mergeCell ref="L66:M66"/>
    <mergeCell ref="A38:M38"/>
    <mergeCell ref="A42:M42"/>
    <mergeCell ref="A46:M46"/>
    <mergeCell ref="A50:M50"/>
    <mergeCell ref="A54:M54"/>
    <mergeCell ref="A58:M58"/>
    <mergeCell ref="F28:M28"/>
    <mergeCell ref="O28:R28"/>
    <mergeCell ref="S28:V28"/>
    <mergeCell ref="A29:M29"/>
    <mergeCell ref="A33:M33"/>
    <mergeCell ref="A34:M34"/>
    <mergeCell ref="F25:G25"/>
    <mergeCell ref="H25:I25"/>
    <mergeCell ref="J25:K25"/>
    <mergeCell ref="L25:M25"/>
    <mergeCell ref="F26:G26"/>
    <mergeCell ref="H26:I26"/>
    <mergeCell ref="J26:K26"/>
    <mergeCell ref="L26:M26"/>
    <mergeCell ref="F23:G23"/>
    <mergeCell ref="H23:I23"/>
    <mergeCell ref="J23:K23"/>
    <mergeCell ref="L23:M23"/>
    <mergeCell ref="F24:G24"/>
    <mergeCell ref="H24:I24"/>
    <mergeCell ref="J24:K24"/>
    <mergeCell ref="L24:M24"/>
    <mergeCell ref="A20:M20"/>
    <mergeCell ref="F21:M21"/>
    <mergeCell ref="O21:R21"/>
    <mergeCell ref="S21:V21"/>
    <mergeCell ref="F22:G22"/>
    <mergeCell ref="H22:I22"/>
    <mergeCell ref="J22:K22"/>
    <mergeCell ref="L22:M22"/>
    <mergeCell ref="A16:M16"/>
    <mergeCell ref="F17:G17"/>
    <mergeCell ref="H17:I17"/>
    <mergeCell ref="J17:K17"/>
    <mergeCell ref="L17:M17"/>
    <mergeCell ref="F18:G18"/>
    <mergeCell ref="H18:I18"/>
    <mergeCell ref="J18:K18"/>
    <mergeCell ref="L18:M18"/>
    <mergeCell ref="A12:M12"/>
    <mergeCell ref="F13:G13"/>
    <mergeCell ref="H13:I13"/>
    <mergeCell ref="J13:K13"/>
    <mergeCell ref="L13:M13"/>
    <mergeCell ref="O13:T14"/>
    <mergeCell ref="F14:G14"/>
    <mergeCell ref="H14:I14"/>
    <mergeCell ref="J14:K14"/>
    <mergeCell ref="L14:M14"/>
    <mergeCell ref="A6:B6"/>
    <mergeCell ref="A8:B8"/>
    <mergeCell ref="F10:G10"/>
    <mergeCell ref="H10:I10"/>
    <mergeCell ref="J10:K10"/>
    <mergeCell ref="L10:M10"/>
    <mergeCell ref="A3:B3"/>
    <mergeCell ref="C3:H3"/>
    <mergeCell ref="I3:K3"/>
    <mergeCell ref="L3:M3"/>
    <mergeCell ref="A4:B4"/>
    <mergeCell ref="C4:H4"/>
    <mergeCell ref="I4:K4"/>
    <mergeCell ref="L4:M4"/>
  </mergeCells>
  <conditionalFormatting sqref="G43:G45 G47:G49 G55:G57 G59:G60 G35:G37 G39:G41 G51:G53">
    <cfRule type="cellIs" dxfId="20" priority="21" operator="equal">
      <formula>0</formula>
    </cfRule>
  </conditionalFormatting>
  <conditionalFormatting sqref="I35:I37 I39:I41 I43:I45 I47:I49 I51:I53 I55:I57 I59:I60">
    <cfRule type="cellIs" dxfId="19" priority="20" operator="equal">
      <formula>0</formula>
    </cfRule>
  </conditionalFormatting>
  <conditionalFormatting sqref="K35:K37 K39:K41 K43:K45 K47:K49 K51:K53 K55:K57 K59:K60">
    <cfRule type="cellIs" dxfId="18" priority="19" operator="equal">
      <formula>0</formula>
    </cfRule>
  </conditionalFormatting>
  <conditionalFormatting sqref="M35:M37 M39:M41 M43:M45 M47:M49 M51:M53 M55:M57 M59:M60">
    <cfRule type="cellIs" dxfId="17" priority="18" operator="equal">
      <formula>0</formula>
    </cfRule>
  </conditionalFormatting>
  <conditionalFormatting sqref="C22:D26">
    <cfRule type="cellIs" dxfId="16" priority="17" operator="equal">
      <formula>0</formula>
    </cfRule>
  </conditionalFormatting>
  <conditionalFormatting sqref="C35:E37 C39:E41 C43:E45 C47:E49 C51:E53 C55:E57 C59:E60">
    <cfRule type="cellIs" dxfId="15" priority="16" operator="equal">
      <formula>0</formula>
    </cfRule>
  </conditionalFormatting>
  <conditionalFormatting sqref="F61">
    <cfRule type="cellIs" dxfId="14" priority="15" operator="equal">
      <formula>0</formula>
    </cfRule>
  </conditionalFormatting>
  <conditionalFormatting sqref="G61">
    <cfRule type="cellIs" dxfId="13" priority="14" operator="equal">
      <formula>0</formula>
    </cfRule>
  </conditionalFormatting>
  <conditionalFormatting sqref="I61">
    <cfRule type="cellIs" dxfId="12" priority="13" operator="equal">
      <formula>0</formula>
    </cfRule>
  </conditionalFormatting>
  <conditionalFormatting sqref="K61">
    <cfRule type="cellIs" dxfId="11" priority="12" operator="equal">
      <formula>0</formula>
    </cfRule>
  </conditionalFormatting>
  <conditionalFormatting sqref="I61 K61 G61">
    <cfRule type="cellIs" dxfId="10" priority="11" operator="greaterThan">
      <formula>1</formula>
    </cfRule>
  </conditionalFormatting>
  <conditionalFormatting sqref="H61">
    <cfRule type="cellIs" dxfId="9" priority="10" operator="equal">
      <formula>0</formula>
    </cfRule>
  </conditionalFormatting>
  <conditionalFormatting sqref="J61">
    <cfRule type="cellIs" dxfId="8" priority="9" operator="equal">
      <formula>0</formula>
    </cfRule>
  </conditionalFormatting>
  <conditionalFormatting sqref="L61">
    <cfRule type="cellIs" dxfId="7" priority="8" operator="equal">
      <formula>0</formula>
    </cfRule>
  </conditionalFormatting>
  <conditionalFormatting sqref="G61">
    <cfRule type="cellIs" dxfId="6" priority="7" operator="equal">
      <formula>0</formula>
    </cfRule>
  </conditionalFormatting>
  <conditionalFormatting sqref="M61">
    <cfRule type="cellIs" dxfId="5" priority="6" operator="equal">
      <formula>0</formula>
    </cfRule>
  </conditionalFormatting>
  <conditionalFormatting sqref="G30:G32">
    <cfRule type="cellIs" dxfId="4" priority="5" operator="equal">
      <formula>0</formula>
    </cfRule>
  </conditionalFormatting>
  <conditionalFormatting sqref="I30:I32">
    <cfRule type="cellIs" dxfId="3" priority="4" operator="equal">
      <formula>0</formula>
    </cfRule>
  </conditionalFormatting>
  <conditionalFormatting sqref="M30:M32">
    <cfRule type="cellIs" dxfId="2" priority="3" operator="equal">
      <formula>0</formula>
    </cfRule>
  </conditionalFormatting>
  <conditionalFormatting sqref="C30:E32">
    <cfRule type="cellIs" dxfId="1" priority="2" operator="equal">
      <formula>0</formula>
    </cfRule>
  </conditionalFormatting>
  <conditionalFormatting sqref="K30:K32">
    <cfRule type="cellIs" dxfId="0" priority="1" operator="equal">
      <formula>0</formula>
    </cfRule>
  </conditionalFormatting>
  <dataValidations count="1">
    <dataValidation type="whole" errorStyle="warning" operator="greaterThan" allowBlank="1" showInputMessage="1" showErrorMessage="1" error="Beregningen er meget usikker ved afstande under 10 meter" sqref="F13:M14">
      <formula1>9</formula1>
    </dataValidation>
  </dataValidations>
  <printOptions horizontalCentered="1"/>
  <pageMargins left="0.23622047244094491" right="0.23622047244094491" top="0.35433070866141736" bottom="0.35433070866141736" header="0" footer="0"/>
  <pageSetup paperSize="9" scale="65" orientation="portrait" r:id="rId1"/>
  <headerFooter>
    <oddFooter>&amp;C&amp;A</oddFooter>
  </headerFooter>
  <ignoredErrors>
    <ignoredError sqref="A31:M34 G61:M61 F70:M70 A45:M50 B44:E44 B30:E30 G30 I30 K30 M30 A37:M38 B35:E35 B36:E36 G35:M35 G36:M36 A41:M42 B39:E39 B40:E40 G39:M39 G40:M40 B43:E43 G43:M43 G44:M44 A53:M54 B51:E51 B52:E52 G51:M51 G52:M52 A58:M60 B55:E55 B56:E56 B57:E57 G55:M55 G56:M56 G57:M57" unlockedFormula="1"/>
  </ignoredError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Tidsrum!$B$7:$B$12</xm:f>
          </x14:formula1>
          <xm:sqref>A8</xm:sqref>
        </x14:dataValidation>
        <x14:dataValidation type="list" allowBlank="1" showInputMessage="1" showErrorMessage="1">
          <x14:formula1>
            <xm:f>'Katalog-køretøjer'!$B$7:$B$13</xm:f>
          </x14:formula1>
          <xm:sqref>A23:A26</xm:sqref>
        </x14:dataValidation>
        <x14:dataValidation type="list" allowBlank="1" showInputMessage="1" showErrorMessage="1">
          <x14:formula1>
            <xm:f>'Katalog-samlede leverancer'!$B$7:$B$14</xm:f>
          </x14:formula1>
          <xm:sqref>A30:A32</xm:sqref>
        </x14:dataValidation>
        <x14:dataValidation type="list" allowBlank="1" showInputMessage="1" showErrorMessage="1">
          <x14:formula1>
            <xm:f>'Katalog-køretøjer'!$B$7:$B$14</xm:f>
          </x14:formula1>
          <xm:sqref>A22</xm:sqref>
        </x14:dataValidation>
        <x14:dataValidation type="list" allowBlank="1" showInputMessage="1" showErrorMessage="1">
          <x14:formula1>
            <xm:f>'Katalog-støjkilder'!$B$22:$B$55</xm:f>
          </x14:formula1>
          <xm:sqref>A39:A41</xm:sqref>
        </x14:dataValidation>
        <x14:dataValidation type="list" allowBlank="1" showInputMessage="1" showErrorMessage="1">
          <x14:formula1>
            <xm:f>'Katalog-støjkilder'!$B$94:$B$133</xm:f>
          </x14:formula1>
          <xm:sqref>A47:A49</xm:sqref>
        </x14:dataValidation>
        <x14:dataValidation type="list" allowBlank="1" showInputMessage="1" showErrorMessage="1">
          <x14:formula1>
            <xm:f>'Katalog-støjkilder'!$B$9:$B$20</xm:f>
          </x14:formula1>
          <xm:sqref>A35:A37</xm:sqref>
        </x14:dataValidation>
        <x14:dataValidation type="list" allowBlank="1" showInputMessage="1" showErrorMessage="1">
          <x14:formula1>
            <xm:f>'Katalog-støjkilder'!$B$57:$B$92</xm:f>
          </x14:formula1>
          <xm:sqref>A43:A45</xm:sqref>
        </x14:dataValidation>
        <x14:dataValidation type="list" allowBlank="1" showInputMessage="1" showErrorMessage="1">
          <x14:formula1>
            <xm:f>'Katalog-støjkilder'!$B$163:$B$186</xm:f>
          </x14:formula1>
          <xm:sqref>A55:A57</xm:sqref>
        </x14:dataValidation>
        <x14:dataValidation type="list" allowBlank="1" showInputMessage="1" showErrorMessage="1">
          <x14:formula1>
            <xm:f>'Katalog-støjkilder'!$B$188:$B$194</xm:f>
          </x14:formula1>
          <xm:sqref>A59:A60</xm:sqref>
        </x14:dataValidation>
        <x14:dataValidation type="list" allowBlank="1" showInputMessage="1" showErrorMessage="1">
          <x14:formula1>
            <xm:f>'Katalog-støjkilder'!$B$135:$B$161</xm:f>
          </x14:formula1>
          <xm:sqref>A51:A53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B1:O66"/>
  <sheetViews>
    <sheetView showGridLines="0" showRowColHeaders="0" zoomScale="75" zoomScaleNormal="75" workbookViewId="0"/>
  </sheetViews>
  <sheetFormatPr defaultRowHeight="11.25"/>
  <cols>
    <col min="1" max="1" width="2.125" customWidth="1"/>
  </cols>
  <sheetData>
    <row r="1" spans="2:15" ht="41.25">
      <c r="B1" s="130" t="s">
        <v>547</v>
      </c>
      <c r="C1" s="128"/>
      <c r="D1" s="128"/>
      <c r="E1" s="128"/>
      <c r="F1" s="128"/>
      <c r="G1" s="128"/>
      <c r="H1" s="128"/>
      <c r="I1" s="128"/>
      <c r="J1" s="128"/>
      <c r="K1" s="128"/>
      <c r="L1" s="128"/>
      <c r="M1" s="128"/>
      <c r="N1" s="128"/>
      <c r="O1" s="128"/>
    </row>
    <row r="3" spans="2:15" ht="35.25">
      <c r="B3" s="90" t="s">
        <v>196</v>
      </c>
    </row>
    <row r="5" spans="2:15" ht="35.25">
      <c r="B5" s="90" t="s">
        <v>197</v>
      </c>
    </row>
    <row r="7" spans="2:15" ht="389.25" customHeight="1">
      <c r="B7" s="184" t="s">
        <v>550</v>
      </c>
      <c r="C7" s="184"/>
      <c r="D7" s="184"/>
      <c r="E7" s="184"/>
      <c r="F7" s="184"/>
      <c r="G7" s="184"/>
      <c r="H7" s="184"/>
      <c r="I7" s="184"/>
      <c r="J7" s="184"/>
      <c r="K7" s="184"/>
      <c r="L7" s="184"/>
      <c r="M7" s="184"/>
      <c r="N7" s="184"/>
      <c r="O7" s="184"/>
    </row>
    <row r="8" spans="2:15" ht="18">
      <c r="B8" s="187"/>
      <c r="C8" s="187"/>
      <c r="D8" s="187"/>
      <c r="E8" s="187"/>
      <c r="F8" s="187"/>
      <c r="G8" s="187"/>
      <c r="H8" s="187"/>
      <c r="I8" s="187"/>
      <c r="J8" s="187"/>
      <c r="K8" s="187"/>
      <c r="L8" s="187"/>
      <c r="M8" s="187"/>
      <c r="N8" s="187"/>
      <c r="O8" s="187"/>
    </row>
    <row r="9" spans="2:15" ht="291" customHeight="1">
      <c r="B9" s="184" t="s">
        <v>354</v>
      </c>
      <c r="C9" s="184"/>
      <c r="D9" s="184"/>
      <c r="E9" s="184"/>
      <c r="F9" s="184"/>
      <c r="G9" s="184"/>
      <c r="H9" s="184"/>
      <c r="I9" s="184"/>
      <c r="J9" s="184"/>
      <c r="K9" s="184"/>
      <c r="L9" s="184"/>
      <c r="M9" s="184"/>
      <c r="N9" s="184"/>
      <c r="O9" s="184"/>
    </row>
    <row r="11" spans="2:15" ht="35.25">
      <c r="B11" s="90" t="s">
        <v>198</v>
      </c>
    </row>
    <row r="13" spans="2:15" ht="18">
      <c r="B13" s="184" t="s">
        <v>334</v>
      </c>
      <c r="C13" s="184"/>
      <c r="D13" s="184"/>
      <c r="E13" s="184"/>
      <c r="F13" s="184"/>
      <c r="G13" s="184"/>
      <c r="H13" s="184"/>
      <c r="I13" s="184"/>
      <c r="J13" s="184"/>
      <c r="K13" s="184"/>
      <c r="L13" s="184"/>
      <c r="M13" s="184"/>
      <c r="N13" s="184"/>
      <c r="O13" s="184"/>
    </row>
    <row r="15" spans="2:15" ht="75" customHeight="1">
      <c r="B15" s="184" t="s">
        <v>219</v>
      </c>
      <c r="C15" s="186"/>
      <c r="D15" s="186"/>
      <c r="E15" s="186"/>
      <c r="F15" s="186"/>
      <c r="G15" s="186"/>
      <c r="H15" s="186"/>
      <c r="I15" s="186"/>
      <c r="J15" s="186"/>
      <c r="K15" s="186"/>
      <c r="L15" s="186"/>
      <c r="M15" s="186"/>
      <c r="N15" s="186"/>
      <c r="O15" s="186"/>
    </row>
    <row r="17" spans="2:15" ht="57.75" customHeight="1">
      <c r="B17" s="184" t="s">
        <v>220</v>
      </c>
      <c r="C17" s="184"/>
      <c r="D17" s="184"/>
      <c r="E17" s="184"/>
      <c r="F17" s="184"/>
      <c r="G17" s="184"/>
      <c r="H17" s="184"/>
      <c r="I17" s="184"/>
      <c r="J17" s="184"/>
      <c r="K17" s="184"/>
      <c r="L17" s="184"/>
      <c r="M17" s="184"/>
      <c r="N17" s="184"/>
      <c r="O17" s="184"/>
    </row>
    <row r="19" spans="2:15" ht="194.25" customHeight="1">
      <c r="B19" s="184" t="s">
        <v>539</v>
      </c>
      <c r="C19" s="184"/>
      <c r="D19" s="184"/>
      <c r="E19" s="184"/>
      <c r="F19" s="184"/>
      <c r="G19" s="184"/>
      <c r="H19" s="184"/>
      <c r="I19" s="184"/>
      <c r="J19" s="184"/>
      <c r="K19" s="184"/>
      <c r="L19" s="184"/>
      <c r="M19" s="184"/>
      <c r="N19" s="184"/>
      <c r="O19" s="184"/>
    </row>
    <row r="58" spans="2:15" ht="18">
      <c r="B58" s="76" t="s">
        <v>540</v>
      </c>
      <c r="I58" s="76" t="s">
        <v>541</v>
      </c>
    </row>
    <row r="60" spans="2:15" ht="255" customHeight="1">
      <c r="B60" s="184" t="s">
        <v>542</v>
      </c>
      <c r="C60" s="184"/>
      <c r="D60" s="184"/>
      <c r="E60" s="184"/>
      <c r="F60" s="184"/>
      <c r="G60" s="184"/>
      <c r="H60" s="184"/>
      <c r="I60" s="184"/>
      <c r="J60" s="184"/>
      <c r="K60" s="184"/>
      <c r="L60" s="184"/>
      <c r="M60" s="184"/>
      <c r="N60" s="184"/>
      <c r="O60" s="184"/>
    </row>
    <row r="62" spans="2:15" ht="129.75" customHeight="1">
      <c r="B62" s="184" t="s">
        <v>368</v>
      </c>
      <c r="C62" s="184"/>
      <c r="D62" s="184"/>
      <c r="E62" s="184"/>
      <c r="F62" s="184"/>
      <c r="G62" s="184"/>
      <c r="H62" s="184"/>
      <c r="I62" s="184"/>
      <c r="J62" s="184"/>
      <c r="K62" s="184"/>
      <c r="L62" s="184"/>
      <c r="M62" s="184"/>
      <c r="N62" s="184"/>
      <c r="O62" s="184"/>
    </row>
    <row r="63" spans="2:15" ht="3" customHeight="1">
      <c r="B63" s="79"/>
      <c r="C63" s="79"/>
      <c r="D63" s="79"/>
      <c r="E63" s="79"/>
      <c r="F63" s="79"/>
      <c r="G63" s="79"/>
      <c r="H63" s="79"/>
      <c r="I63" s="79"/>
      <c r="J63" s="79"/>
      <c r="K63" s="79"/>
      <c r="L63" s="79"/>
      <c r="M63" s="79"/>
      <c r="N63" s="79"/>
      <c r="O63" s="79"/>
    </row>
    <row r="64" spans="2:15" ht="370.5" customHeight="1">
      <c r="B64" s="184" t="s">
        <v>367</v>
      </c>
      <c r="C64" s="184"/>
      <c r="D64" s="184"/>
      <c r="E64" s="184"/>
      <c r="F64" s="184"/>
      <c r="G64" s="184"/>
      <c r="H64" s="184"/>
      <c r="I64" s="184"/>
      <c r="J64" s="184"/>
      <c r="K64" s="184"/>
      <c r="L64" s="184"/>
      <c r="M64" s="184"/>
      <c r="N64" s="184"/>
      <c r="O64" s="184"/>
    </row>
    <row r="66" spans="2:15" ht="407.25" customHeight="1">
      <c r="B66" s="185" t="s">
        <v>355</v>
      </c>
      <c r="C66" s="184"/>
      <c r="D66" s="184"/>
      <c r="E66" s="184"/>
      <c r="F66" s="184"/>
      <c r="G66" s="184"/>
      <c r="H66" s="184"/>
      <c r="I66" s="184"/>
      <c r="J66" s="184"/>
      <c r="K66" s="184"/>
      <c r="L66" s="184"/>
      <c r="M66" s="184"/>
      <c r="N66" s="184"/>
      <c r="O66" s="184"/>
    </row>
  </sheetData>
  <sheetProtection sheet="1" objects="1" scenarios="1"/>
  <mergeCells count="11">
    <mergeCell ref="B60:O60"/>
    <mergeCell ref="B62:O62"/>
    <mergeCell ref="B66:O66"/>
    <mergeCell ref="B7:O7"/>
    <mergeCell ref="B9:O9"/>
    <mergeCell ref="B13:O13"/>
    <mergeCell ref="B15:O15"/>
    <mergeCell ref="B17:O17"/>
    <mergeCell ref="B19:O19"/>
    <mergeCell ref="B64:O64"/>
    <mergeCell ref="B8:O8"/>
  </mergeCells>
  <pageMargins left="0.7" right="0.7" top="0.75" bottom="0.75" header="0.3" footer="0.3"/>
  <pageSetup paperSize="9" scale="6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B1:P36"/>
  <sheetViews>
    <sheetView showGridLines="0" showRowColHeaders="0" topLeftCell="B1" zoomScale="75" zoomScaleNormal="75" workbookViewId="0">
      <selection activeCell="B2" sqref="B2"/>
    </sheetView>
  </sheetViews>
  <sheetFormatPr defaultRowHeight="11.25"/>
  <cols>
    <col min="1" max="1" width="2.875" customWidth="1"/>
  </cols>
  <sheetData>
    <row r="1" spans="2:16" ht="41.25">
      <c r="B1" s="130" t="s">
        <v>549</v>
      </c>
      <c r="C1" s="128"/>
      <c r="D1" s="128"/>
      <c r="E1" s="128"/>
      <c r="F1" s="128"/>
      <c r="G1" s="128"/>
      <c r="H1" s="128"/>
      <c r="I1" s="128"/>
      <c r="J1" s="128"/>
      <c r="K1" s="128"/>
      <c r="L1" s="128"/>
      <c r="M1" s="128"/>
      <c r="N1" s="128"/>
      <c r="O1" s="128"/>
      <c r="P1" s="128"/>
    </row>
    <row r="4" spans="2:16" ht="24">
      <c r="B4" s="77" t="s">
        <v>207</v>
      </c>
    </row>
    <row r="5" spans="2:16" ht="36" customHeight="1">
      <c r="B5" s="188" t="s">
        <v>200</v>
      </c>
      <c r="C5" s="188"/>
      <c r="D5" s="188"/>
      <c r="E5" s="188"/>
      <c r="F5" s="188"/>
      <c r="G5" s="188"/>
      <c r="H5" s="188"/>
      <c r="I5" s="188"/>
      <c r="J5" s="188"/>
      <c r="K5" s="188"/>
      <c r="L5" s="188"/>
      <c r="M5" s="188"/>
      <c r="N5" s="188"/>
      <c r="O5" s="188"/>
      <c r="P5" s="188"/>
    </row>
    <row r="6" spans="2:16" ht="18">
      <c r="B6" s="76" t="s">
        <v>335</v>
      </c>
      <c r="C6" s="76"/>
      <c r="D6" s="76"/>
      <c r="E6" s="76"/>
      <c r="F6" s="76"/>
      <c r="G6" s="76"/>
      <c r="H6" s="76"/>
      <c r="I6" s="76"/>
      <c r="J6" s="76"/>
      <c r="K6" s="76"/>
      <c r="L6" s="76"/>
      <c r="M6" s="76"/>
      <c r="N6" s="76"/>
      <c r="O6" s="76"/>
      <c r="P6" s="76"/>
    </row>
    <row r="7" spans="2:16" ht="20.25">
      <c r="B7" s="76" t="s">
        <v>353</v>
      </c>
      <c r="C7" s="76"/>
      <c r="D7" s="76"/>
      <c r="E7" s="76"/>
      <c r="F7" s="76"/>
      <c r="G7" s="76"/>
      <c r="H7" s="76"/>
      <c r="I7" s="76"/>
      <c r="J7" s="76"/>
      <c r="K7" s="76"/>
      <c r="L7" s="76"/>
      <c r="M7" s="76"/>
      <c r="N7" s="76"/>
      <c r="O7" s="76"/>
      <c r="P7" s="76"/>
    </row>
    <row r="9" spans="2:16" ht="24">
      <c r="B9" s="77" t="s">
        <v>208</v>
      </c>
    </row>
    <row r="10" spans="2:16" ht="61.5" customHeight="1">
      <c r="B10" s="184" t="s">
        <v>201</v>
      </c>
      <c r="C10" s="184"/>
      <c r="D10" s="184"/>
      <c r="E10" s="184"/>
      <c r="F10" s="184"/>
      <c r="G10" s="184"/>
      <c r="H10" s="184"/>
      <c r="I10" s="184"/>
      <c r="J10" s="184"/>
      <c r="K10" s="184"/>
      <c r="L10" s="184"/>
      <c r="M10" s="184"/>
      <c r="N10" s="184"/>
      <c r="O10" s="184"/>
      <c r="P10" s="184"/>
    </row>
    <row r="11" spans="2:16" ht="18">
      <c r="B11" s="76" t="s">
        <v>336</v>
      </c>
      <c r="C11" s="76"/>
      <c r="D11" s="76"/>
      <c r="E11" s="76"/>
      <c r="F11" s="76"/>
      <c r="G11" s="76"/>
      <c r="H11" s="76"/>
      <c r="I11" s="76"/>
      <c r="J11" s="76"/>
      <c r="K11" s="76"/>
      <c r="L11" s="76"/>
      <c r="M11" s="76"/>
      <c r="N11" s="76"/>
      <c r="O11" s="76"/>
      <c r="P11" s="76"/>
    </row>
    <row r="13" spans="2:16" ht="24">
      <c r="B13" s="77" t="s">
        <v>209</v>
      </c>
    </row>
    <row r="14" spans="2:16" ht="39.75" customHeight="1">
      <c r="B14" s="184" t="s">
        <v>4</v>
      </c>
      <c r="C14" s="186"/>
      <c r="D14" s="186"/>
      <c r="E14" s="186"/>
      <c r="F14" s="186"/>
      <c r="G14" s="186"/>
      <c r="H14" s="186"/>
      <c r="I14" s="186"/>
      <c r="J14" s="186"/>
      <c r="K14" s="186"/>
      <c r="L14" s="186"/>
      <c r="M14" s="186"/>
      <c r="N14" s="186"/>
      <c r="O14" s="186"/>
      <c r="P14" s="186"/>
    </row>
    <row r="15" spans="2:16" ht="37.5" customHeight="1">
      <c r="B15" s="184" t="s">
        <v>337</v>
      </c>
      <c r="C15" s="184"/>
      <c r="D15" s="184"/>
      <c r="E15" s="184"/>
      <c r="F15" s="184"/>
      <c r="G15" s="184"/>
      <c r="H15" s="184"/>
      <c r="I15" s="184"/>
      <c r="J15" s="184"/>
      <c r="K15" s="184"/>
      <c r="L15" s="184"/>
      <c r="M15" s="184"/>
      <c r="N15" s="184"/>
      <c r="O15" s="184"/>
      <c r="P15" s="184"/>
    </row>
    <row r="16" spans="2:16" ht="9" customHeight="1"/>
    <row r="17" spans="2:16" ht="24" hidden="1">
      <c r="B17" s="77" t="s">
        <v>210</v>
      </c>
    </row>
    <row r="18" spans="2:16" ht="36" customHeight="1">
      <c r="B18" s="188" t="s">
        <v>5</v>
      </c>
      <c r="C18" s="189"/>
      <c r="D18" s="189"/>
      <c r="E18" s="189"/>
      <c r="F18" s="189"/>
      <c r="G18" s="189"/>
      <c r="H18" s="189"/>
      <c r="I18" s="189"/>
      <c r="J18" s="189"/>
      <c r="K18" s="189"/>
      <c r="L18" s="189"/>
      <c r="M18" s="189"/>
      <c r="N18" s="189"/>
      <c r="O18" s="189"/>
      <c r="P18" s="189"/>
    </row>
    <row r="20" spans="2:16" ht="24">
      <c r="B20" s="77" t="s">
        <v>211</v>
      </c>
    </row>
    <row r="21" spans="2:16" ht="40.5" customHeight="1">
      <c r="B21" s="184" t="s">
        <v>202</v>
      </c>
      <c r="C21" s="186"/>
      <c r="D21" s="186"/>
      <c r="E21" s="186"/>
      <c r="F21" s="186"/>
      <c r="G21" s="186"/>
      <c r="H21" s="186"/>
      <c r="I21" s="186"/>
      <c r="J21" s="186"/>
      <c r="K21" s="186"/>
      <c r="L21" s="186"/>
      <c r="M21" s="186"/>
      <c r="N21" s="186"/>
      <c r="O21" s="186"/>
      <c r="P21" s="186"/>
    </row>
    <row r="22" spans="2:16" ht="55.5" customHeight="1">
      <c r="B22" s="184" t="s">
        <v>203</v>
      </c>
      <c r="C22" s="184"/>
      <c r="D22" s="184"/>
      <c r="E22" s="184"/>
      <c r="F22" s="184"/>
      <c r="G22" s="184"/>
      <c r="H22" s="184"/>
      <c r="I22" s="184"/>
      <c r="J22" s="184"/>
      <c r="K22" s="184"/>
      <c r="L22" s="184"/>
      <c r="M22" s="184"/>
      <c r="N22" s="184"/>
      <c r="O22" s="184"/>
      <c r="P22" s="184"/>
    </row>
    <row r="23" spans="2:16" ht="18">
      <c r="B23" s="76"/>
      <c r="C23" s="76"/>
      <c r="D23" s="76"/>
      <c r="E23" s="76"/>
      <c r="F23" s="76"/>
      <c r="G23" s="76"/>
      <c r="H23" s="76"/>
      <c r="I23" s="76"/>
      <c r="J23" s="76"/>
      <c r="K23" s="76"/>
      <c r="L23" s="76"/>
      <c r="M23" s="76"/>
      <c r="N23" s="76"/>
      <c r="O23" s="76"/>
      <c r="P23" s="76"/>
    </row>
    <row r="24" spans="2:16" ht="18">
      <c r="B24" s="76" t="s">
        <v>204</v>
      </c>
      <c r="C24" s="76"/>
      <c r="D24" s="76"/>
      <c r="E24" s="76"/>
      <c r="F24" s="76"/>
      <c r="G24" s="76"/>
      <c r="H24" s="76"/>
      <c r="I24" s="76"/>
      <c r="J24" s="76"/>
      <c r="K24" s="76"/>
      <c r="L24" s="76"/>
      <c r="M24" s="76"/>
      <c r="N24" s="76"/>
      <c r="O24" s="76"/>
      <c r="P24" s="76"/>
    </row>
    <row r="25" spans="2:16" ht="18">
      <c r="B25" s="76"/>
      <c r="C25" s="76"/>
      <c r="D25" s="76"/>
      <c r="E25" s="76"/>
      <c r="F25" s="76"/>
      <c r="G25" s="76"/>
      <c r="H25" s="76"/>
      <c r="I25" s="76"/>
      <c r="J25" s="76"/>
      <c r="K25" s="76"/>
      <c r="L25" s="76"/>
      <c r="M25" s="76"/>
      <c r="N25" s="76"/>
      <c r="O25" s="76"/>
      <c r="P25" s="76"/>
    </row>
    <row r="26" spans="2:16" ht="18">
      <c r="B26" s="76" t="s">
        <v>1</v>
      </c>
      <c r="C26" s="76"/>
      <c r="D26" s="76"/>
      <c r="E26" s="76"/>
      <c r="F26" s="76"/>
      <c r="G26" s="76"/>
      <c r="H26" s="76"/>
      <c r="I26" s="76"/>
      <c r="J26" s="76"/>
      <c r="K26" s="76"/>
      <c r="L26" s="76"/>
      <c r="M26" s="76"/>
      <c r="N26" s="76"/>
      <c r="O26" s="76"/>
      <c r="P26" s="76"/>
    </row>
    <row r="27" spans="2:16" ht="18">
      <c r="B27" s="76" t="s">
        <v>2</v>
      </c>
      <c r="C27" s="76"/>
      <c r="D27" s="76"/>
      <c r="E27" s="76"/>
      <c r="F27" s="76"/>
      <c r="G27" s="76"/>
      <c r="H27" s="76"/>
      <c r="I27" s="76"/>
      <c r="J27" s="76"/>
      <c r="K27" s="76"/>
      <c r="L27" s="76"/>
      <c r="M27" s="76"/>
      <c r="N27" s="76"/>
      <c r="O27" s="76"/>
      <c r="P27" s="76"/>
    </row>
    <row r="28" spans="2:16" ht="18">
      <c r="B28" s="76" t="s">
        <v>205</v>
      </c>
      <c r="C28" s="76"/>
      <c r="D28" s="76"/>
      <c r="E28" s="76"/>
      <c r="F28" s="76"/>
      <c r="G28" s="76"/>
      <c r="H28" s="76"/>
      <c r="I28" s="76"/>
      <c r="J28" s="76"/>
      <c r="K28" s="76"/>
      <c r="L28" s="76"/>
      <c r="M28" s="76"/>
      <c r="N28" s="76"/>
      <c r="O28" s="76"/>
      <c r="P28" s="76"/>
    </row>
    <row r="29" spans="2:16" ht="18">
      <c r="B29" s="76"/>
      <c r="C29" s="76"/>
      <c r="D29" s="76"/>
      <c r="E29" s="76"/>
      <c r="F29" s="76"/>
      <c r="G29" s="76"/>
      <c r="H29" s="76"/>
      <c r="I29" s="76"/>
      <c r="J29" s="76"/>
      <c r="K29" s="76"/>
      <c r="L29" s="76"/>
      <c r="M29" s="76"/>
      <c r="N29" s="76"/>
      <c r="O29" s="76"/>
      <c r="P29" s="76"/>
    </row>
    <row r="30" spans="2:16" ht="40.5" customHeight="1">
      <c r="B30" s="184" t="s">
        <v>206</v>
      </c>
      <c r="C30" s="186"/>
      <c r="D30" s="186"/>
      <c r="E30" s="186"/>
      <c r="F30" s="186"/>
      <c r="G30" s="186"/>
      <c r="H30" s="186"/>
      <c r="I30" s="186"/>
      <c r="J30" s="186"/>
      <c r="K30" s="186"/>
      <c r="L30" s="186"/>
      <c r="M30" s="186"/>
      <c r="N30" s="186"/>
      <c r="O30" s="186"/>
      <c r="P30" s="186"/>
    </row>
    <row r="31" spans="2:16" ht="53.25" customHeight="1">
      <c r="B31" s="184" t="s">
        <v>3</v>
      </c>
      <c r="C31" s="184"/>
      <c r="D31" s="184"/>
      <c r="E31" s="184"/>
      <c r="F31" s="184"/>
      <c r="G31" s="184"/>
      <c r="H31" s="184"/>
      <c r="I31" s="184"/>
      <c r="J31" s="184"/>
      <c r="K31" s="184"/>
      <c r="L31" s="184"/>
      <c r="M31" s="184"/>
      <c r="N31" s="184"/>
      <c r="O31" s="184"/>
      <c r="P31" s="184"/>
    </row>
    <row r="32" spans="2:16" ht="56.25" customHeight="1">
      <c r="B32" s="184" t="s">
        <v>356</v>
      </c>
      <c r="C32" s="184"/>
      <c r="D32" s="184"/>
      <c r="E32" s="184"/>
      <c r="F32" s="184"/>
      <c r="G32" s="184"/>
      <c r="H32" s="184"/>
      <c r="I32" s="184"/>
      <c r="J32" s="184"/>
      <c r="K32" s="184"/>
      <c r="L32" s="184"/>
      <c r="M32" s="184"/>
      <c r="N32" s="184"/>
      <c r="O32" s="184"/>
      <c r="P32" s="184"/>
    </row>
    <row r="34" spans="2:16" ht="19.5">
      <c r="B34" s="77" t="s">
        <v>24</v>
      </c>
    </row>
    <row r="35" spans="2:16" ht="41.25" customHeight="1">
      <c r="B35" s="184" t="s">
        <v>25</v>
      </c>
      <c r="C35" s="186"/>
      <c r="D35" s="186"/>
      <c r="E35" s="186"/>
      <c r="F35" s="186"/>
      <c r="G35" s="186"/>
      <c r="H35" s="186"/>
      <c r="I35" s="186"/>
      <c r="J35" s="186"/>
      <c r="K35" s="186"/>
      <c r="L35" s="186"/>
      <c r="M35" s="186"/>
      <c r="N35" s="186"/>
      <c r="O35" s="186"/>
      <c r="P35" s="186"/>
    </row>
    <row r="36" spans="2:16" ht="42" customHeight="1">
      <c r="B36" s="184" t="s">
        <v>352</v>
      </c>
      <c r="C36" s="186"/>
      <c r="D36" s="186"/>
      <c r="E36" s="186"/>
      <c r="F36" s="186"/>
      <c r="G36" s="186"/>
      <c r="H36" s="186"/>
      <c r="I36" s="186"/>
      <c r="J36" s="186"/>
      <c r="K36" s="186"/>
      <c r="L36" s="186"/>
      <c r="M36" s="186"/>
      <c r="N36" s="186"/>
      <c r="O36" s="186"/>
      <c r="P36" s="186"/>
    </row>
  </sheetData>
  <sheetProtection sheet="1" objects="1" scenarios="1"/>
  <mergeCells count="12">
    <mergeCell ref="B36:P36"/>
    <mergeCell ref="B32:P32"/>
    <mergeCell ref="B14:P14"/>
    <mergeCell ref="B18:P18"/>
    <mergeCell ref="B21:P21"/>
    <mergeCell ref="B30:P30"/>
    <mergeCell ref="B35:P35"/>
    <mergeCell ref="B10:P10"/>
    <mergeCell ref="B15:P15"/>
    <mergeCell ref="B5:P5"/>
    <mergeCell ref="B22:P22"/>
    <mergeCell ref="B31:P31"/>
  </mergeCells>
  <pageMargins left="0.7" right="0.7" top="0.75" bottom="0.75" header="0.3" footer="0.3"/>
  <pageSetup paperSize="9"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tint="0.59999389629810485"/>
  </sheetPr>
  <dimension ref="B1:O20"/>
  <sheetViews>
    <sheetView workbookViewId="0"/>
  </sheetViews>
  <sheetFormatPr defaultRowHeight="11.25"/>
  <cols>
    <col min="1" max="1" width="2.875" customWidth="1"/>
    <col min="2" max="2" width="64.375" customWidth="1"/>
    <col min="3" max="3" width="22.875" customWidth="1"/>
    <col min="4" max="4" width="23.125" customWidth="1"/>
    <col min="5" max="5" width="81.5" customWidth="1"/>
    <col min="6" max="6" width="16.625" customWidth="1"/>
    <col min="7" max="7" width="14.875" customWidth="1"/>
    <col min="8" max="15" width="6" customWidth="1"/>
  </cols>
  <sheetData>
    <row r="1" spans="2:15" ht="24.75">
      <c r="B1" s="61" t="s">
        <v>52</v>
      </c>
    </row>
    <row r="2" spans="2:15" ht="11.25" customHeight="1">
      <c r="B2" t="s">
        <v>326</v>
      </c>
    </row>
    <row r="3" spans="2:15" ht="11.25" customHeight="1">
      <c r="B3" t="s">
        <v>327</v>
      </c>
    </row>
    <row r="4" spans="2:15">
      <c r="B4" t="s">
        <v>328</v>
      </c>
    </row>
    <row r="5" spans="2:15" ht="24.75" customHeight="1">
      <c r="B5" s="91"/>
      <c r="C5" s="91"/>
      <c r="D5" s="91"/>
      <c r="E5" s="91"/>
      <c r="F5" s="15" t="s">
        <v>182</v>
      </c>
      <c r="G5" s="15" t="s">
        <v>183</v>
      </c>
      <c r="H5" s="190" t="s">
        <v>363</v>
      </c>
      <c r="I5" s="191"/>
      <c r="J5" s="191"/>
      <c r="K5" s="191"/>
      <c r="L5" s="191"/>
      <c r="M5" s="191"/>
      <c r="N5" s="191"/>
      <c r="O5" s="192"/>
    </row>
    <row r="6" spans="2:15" ht="27.75" customHeight="1">
      <c r="B6" s="93" t="s">
        <v>13</v>
      </c>
      <c r="C6" s="92" t="s">
        <v>22</v>
      </c>
      <c r="D6" s="92" t="s">
        <v>21</v>
      </c>
      <c r="E6" s="15" t="s">
        <v>55</v>
      </c>
      <c r="F6" s="15" t="s">
        <v>360</v>
      </c>
      <c r="G6" s="15" t="s">
        <v>359</v>
      </c>
      <c r="H6" s="15">
        <v>63</v>
      </c>
      <c r="I6" s="15">
        <v>125</v>
      </c>
      <c r="J6" s="15">
        <v>250</v>
      </c>
      <c r="K6" s="15">
        <v>500</v>
      </c>
      <c r="L6" s="15">
        <v>1000</v>
      </c>
      <c r="M6" s="15">
        <v>2000</v>
      </c>
      <c r="N6" s="15">
        <v>4000</v>
      </c>
      <c r="O6" s="15">
        <v>8000</v>
      </c>
    </row>
    <row r="7" spans="2:15">
      <c r="B7" s="108" t="s">
        <v>185</v>
      </c>
      <c r="C7" s="95"/>
      <c r="D7" s="95"/>
      <c r="E7" s="67"/>
      <c r="F7" s="113"/>
      <c r="G7" s="113"/>
      <c r="H7" s="113"/>
      <c r="I7" s="113"/>
      <c r="J7" s="113"/>
      <c r="K7" s="113"/>
      <c r="L7" s="113"/>
      <c r="M7" s="113"/>
      <c r="N7" s="113"/>
      <c r="O7" s="113"/>
    </row>
    <row r="8" spans="2:15">
      <c r="B8" s="107" t="s">
        <v>65</v>
      </c>
      <c r="C8" s="95">
        <v>101.5</v>
      </c>
      <c r="D8" s="95">
        <v>105</v>
      </c>
      <c r="E8" s="67" t="s">
        <v>63</v>
      </c>
      <c r="F8" s="117"/>
      <c r="G8" s="117"/>
      <c r="H8" s="115">
        <v>81.5</v>
      </c>
      <c r="I8" s="115">
        <v>84.5</v>
      </c>
      <c r="J8" s="115">
        <v>90.5</v>
      </c>
      <c r="K8" s="115">
        <v>93.5</v>
      </c>
      <c r="L8" s="115">
        <v>97.5</v>
      </c>
      <c r="M8" s="115">
        <v>94.5</v>
      </c>
      <c r="N8" s="115">
        <v>88.5</v>
      </c>
      <c r="O8" s="115">
        <v>80.5</v>
      </c>
    </row>
    <row r="9" spans="2:15" ht="15">
      <c r="B9" s="94" t="s">
        <v>188</v>
      </c>
      <c r="C9" s="95">
        <v>99</v>
      </c>
      <c r="D9" s="95">
        <v>99</v>
      </c>
      <c r="E9" s="67" t="s">
        <v>57</v>
      </c>
      <c r="F9" s="116">
        <v>70.001700438503121</v>
      </c>
      <c r="G9" s="116">
        <v>73.228518359964141</v>
      </c>
      <c r="H9" s="116">
        <v>72.004309740626539</v>
      </c>
      <c r="I9" s="116">
        <v>81.883091081963244</v>
      </c>
      <c r="J9" s="116">
        <v>86.22595453548135</v>
      </c>
      <c r="K9" s="116">
        <v>90.43345266520312</v>
      </c>
      <c r="L9" s="116">
        <v>94.796329807413983</v>
      </c>
      <c r="M9" s="116">
        <v>93.610207473585788</v>
      </c>
      <c r="N9" s="116">
        <v>85.270458391767292</v>
      </c>
      <c r="O9" s="116">
        <v>74.659983638233896</v>
      </c>
    </row>
    <row r="10" spans="2:15" ht="15">
      <c r="B10" s="94" t="s">
        <v>60</v>
      </c>
      <c r="C10" s="95">
        <v>92</v>
      </c>
      <c r="D10" s="95">
        <v>92</v>
      </c>
      <c r="E10" s="67" t="s">
        <v>58</v>
      </c>
      <c r="F10" s="116">
        <v>63.33675465128097</v>
      </c>
      <c r="G10" s="116">
        <v>66.427216667983643</v>
      </c>
      <c r="H10" s="116">
        <v>66.296768027600393</v>
      </c>
      <c r="I10" s="116">
        <v>74.827240313925117</v>
      </c>
      <c r="J10" s="116">
        <v>78.576294497193857</v>
      </c>
      <c r="K10" s="116">
        <v>84.372875786793344</v>
      </c>
      <c r="L10" s="116">
        <v>87.525825978438689</v>
      </c>
      <c r="M10" s="116">
        <v>86.109538338555339</v>
      </c>
      <c r="N10" s="116">
        <v>83.132757134570312</v>
      </c>
      <c r="O10" s="116">
        <v>71.261869782253527</v>
      </c>
    </row>
    <row r="11" spans="2:15" ht="15">
      <c r="B11" s="94" t="s">
        <v>61</v>
      </c>
      <c r="C11" s="95">
        <v>84</v>
      </c>
      <c r="D11" s="95">
        <v>85</v>
      </c>
      <c r="E11" s="67" t="s">
        <v>59</v>
      </c>
      <c r="F11" s="116">
        <v>55.506763419960087</v>
      </c>
      <c r="G11" s="116">
        <v>59.763611704743823</v>
      </c>
      <c r="H11" s="116">
        <v>57.280926563894532</v>
      </c>
      <c r="I11" s="116">
        <v>64.273800861860778</v>
      </c>
      <c r="J11" s="116">
        <v>69.679588392189132</v>
      </c>
      <c r="K11" s="116">
        <v>78.601504950784744</v>
      </c>
      <c r="L11" s="116">
        <v>80.70504726447021</v>
      </c>
      <c r="M11" s="116">
        <v>76.249785232131217</v>
      </c>
      <c r="N11" s="116">
        <v>71.119563771356496</v>
      </c>
      <c r="O11" s="116">
        <v>63.778574722289619</v>
      </c>
    </row>
    <row r="12" spans="2:15" ht="15">
      <c r="B12" s="94" t="s">
        <v>62</v>
      </c>
      <c r="C12" s="95">
        <v>80</v>
      </c>
      <c r="D12" s="95">
        <v>80</v>
      </c>
      <c r="E12" s="67" t="s">
        <v>56</v>
      </c>
      <c r="F12" s="116">
        <v>51.429137579332995</v>
      </c>
      <c r="G12" s="116">
        <v>54.035935793380986</v>
      </c>
      <c r="H12" s="116">
        <v>61.663855393170294</v>
      </c>
      <c r="I12" s="116">
        <v>65.076598693355862</v>
      </c>
      <c r="J12" s="116">
        <v>68.447017529572307</v>
      </c>
      <c r="K12" s="116">
        <v>73.011287794826686</v>
      </c>
      <c r="L12" s="116">
        <v>76.621716881872885</v>
      </c>
      <c r="M12" s="116">
        <v>72.407487987225835</v>
      </c>
      <c r="N12" s="116">
        <v>67.697614092196915</v>
      </c>
      <c r="O12" s="116">
        <v>59.144550861503618</v>
      </c>
    </row>
    <row r="13" spans="2:15" ht="15">
      <c r="B13" s="94" t="s">
        <v>184</v>
      </c>
      <c r="C13" s="95">
        <v>0</v>
      </c>
      <c r="D13" s="95">
        <v>0</v>
      </c>
      <c r="E13" s="67" t="s">
        <v>64</v>
      </c>
      <c r="F13" s="114"/>
      <c r="G13" s="114"/>
      <c r="H13" s="114"/>
      <c r="I13" s="114"/>
      <c r="J13" s="114"/>
      <c r="K13" s="114"/>
      <c r="L13" s="114"/>
      <c r="M13" s="114"/>
      <c r="N13" s="114"/>
      <c r="O13" s="114"/>
    </row>
    <row r="14" spans="2:15" ht="15">
      <c r="B14" s="108"/>
      <c r="C14" s="95"/>
      <c r="D14" s="95"/>
      <c r="E14" s="67"/>
      <c r="F14" s="114"/>
      <c r="G14" s="114"/>
      <c r="H14" s="114"/>
      <c r="I14" s="114"/>
      <c r="J14" s="114"/>
      <c r="K14" s="114"/>
      <c r="L14" s="114"/>
      <c r="M14" s="114"/>
      <c r="N14" s="114"/>
      <c r="O14" s="114"/>
    </row>
    <row r="16" spans="2:15">
      <c r="B16" s="120"/>
      <c r="D16" s="119"/>
    </row>
    <row r="17" spans="2:4">
      <c r="B17" s="120"/>
    </row>
    <row r="18" spans="2:4">
      <c r="B18" s="120"/>
    </row>
    <row r="19" spans="2:4">
      <c r="B19" s="120"/>
      <c r="D19" s="119"/>
    </row>
    <row r="20" spans="2:4">
      <c r="B20" s="120"/>
    </row>
  </sheetData>
  <sheetProtection sheet="1" objects="1" scenarios="1"/>
  <mergeCells count="1">
    <mergeCell ref="H5:O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59999389629810485"/>
  </sheetPr>
  <dimension ref="B1:S20"/>
  <sheetViews>
    <sheetView workbookViewId="0"/>
  </sheetViews>
  <sheetFormatPr defaultRowHeight="11.25"/>
  <cols>
    <col min="1" max="1" width="2.75" customWidth="1"/>
    <col min="2" max="2" width="64.375" customWidth="1"/>
    <col min="3" max="3" width="27.25" customWidth="1"/>
    <col min="4" max="4" width="25.625" customWidth="1"/>
    <col min="5" max="5" width="14.25" customWidth="1"/>
    <col min="6" max="6" width="11.5" customWidth="1"/>
    <col min="7" max="7" width="15.625" customWidth="1"/>
    <col min="8" max="10" width="11.5" customWidth="1"/>
    <col min="11" max="18" width="6" customWidth="1"/>
    <col min="19" max="19" width="145.625" customWidth="1"/>
  </cols>
  <sheetData>
    <row r="1" spans="2:19" ht="24.75">
      <c r="B1" s="61" t="s">
        <v>52</v>
      </c>
    </row>
    <row r="2" spans="2:19" ht="11.25" customHeight="1">
      <c r="B2" t="s">
        <v>326</v>
      </c>
    </row>
    <row r="3" spans="2:19" ht="11.25" customHeight="1">
      <c r="B3" t="s">
        <v>327</v>
      </c>
    </row>
    <row r="4" spans="2:19">
      <c r="B4" t="s">
        <v>328</v>
      </c>
    </row>
    <row r="5" spans="2:19" ht="22.5" customHeight="1">
      <c r="B5" s="91"/>
      <c r="C5" s="91"/>
      <c r="D5" s="91"/>
      <c r="E5" s="91"/>
      <c r="F5" s="15"/>
      <c r="G5" s="15"/>
      <c r="H5" s="15"/>
      <c r="I5" s="15" t="s">
        <v>182</v>
      </c>
      <c r="J5" s="15" t="s">
        <v>183</v>
      </c>
      <c r="K5" s="193" t="s">
        <v>361</v>
      </c>
      <c r="L5" s="194"/>
      <c r="M5" s="194"/>
      <c r="N5" s="194"/>
      <c r="O5" s="194"/>
      <c r="P5" s="194"/>
      <c r="Q5" s="194"/>
      <c r="R5" s="195"/>
    </row>
    <row r="6" spans="2:19" ht="25.5">
      <c r="B6" s="93" t="s">
        <v>53</v>
      </c>
      <c r="C6" s="92" t="s">
        <v>22</v>
      </c>
      <c r="D6" s="92" t="s">
        <v>21</v>
      </c>
      <c r="E6" s="92" t="s">
        <v>16</v>
      </c>
      <c r="F6" s="15" t="s">
        <v>222</v>
      </c>
      <c r="G6" s="15" t="s">
        <v>223</v>
      </c>
      <c r="H6" s="15"/>
      <c r="I6" s="15" t="s">
        <v>360</v>
      </c>
      <c r="J6" s="15" t="s">
        <v>359</v>
      </c>
      <c r="K6" s="92">
        <v>63</v>
      </c>
      <c r="L6" s="92">
        <v>125</v>
      </c>
      <c r="M6" s="92">
        <v>250</v>
      </c>
      <c r="N6" s="92">
        <v>500</v>
      </c>
      <c r="O6" s="92">
        <v>1000</v>
      </c>
      <c r="P6" s="92">
        <v>2000</v>
      </c>
      <c r="Q6" s="92">
        <v>4000</v>
      </c>
      <c r="R6" s="92">
        <v>8000</v>
      </c>
      <c r="S6" s="118" t="s">
        <v>55</v>
      </c>
    </row>
    <row r="7" spans="2:19">
      <c r="B7" s="108" t="s">
        <v>185</v>
      </c>
      <c r="C7" s="95"/>
      <c r="D7" s="95"/>
      <c r="E7" s="95"/>
      <c r="F7" s="113"/>
      <c r="G7" s="113"/>
      <c r="H7" s="113"/>
      <c r="I7" s="113"/>
      <c r="J7" s="113"/>
      <c r="K7" s="112"/>
      <c r="L7" s="112"/>
      <c r="M7" s="112"/>
      <c r="N7" s="112"/>
      <c r="O7" s="112"/>
      <c r="P7" s="112"/>
      <c r="Q7" s="112"/>
      <c r="R7" s="112"/>
      <c r="S7" s="67"/>
    </row>
    <row r="8" spans="2:19">
      <c r="B8" s="107" t="s">
        <v>69</v>
      </c>
      <c r="C8" s="95">
        <v>91</v>
      </c>
      <c r="D8" s="95">
        <v>112</v>
      </c>
      <c r="E8" s="96">
        <v>1</v>
      </c>
      <c r="F8" s="115">
        <v>1740</v>
      </c>
      <c r="G8" s="113" t="s">
        <v>67</v>
      </c>
      <c r="H8" s="113" t="s">
        <v>185</v>
      </c>
      <c r="I8" s="115">
        <v>65.52</v>
      </c>
      <c r="J8" s="115">
        <v>86.52</v>
      </c>
      <c r="K8" s="112">
        <v>69</v>
      </c>
      <c r="L8" s="112">
        <v>77</v>
      </c>
      <c r="M8" s="112">
        <v>85</v>
      </c>
      <c r="N8" s="112">
        <v>87</v>
      </c>
      <c r="O8" s="112">
        <v>84</v>
      </c>
      <c r="P8" s="112">
        <v>80</v>
      </c>
      <c r="Q8" s="112">
        <v>76</v>
      </c>
      <c r="R8" s="112">
        <v>66</v>
      </c>
      <c r="S8" s="67" t="s">
        <v>331</v>
      </c>
    </row>
    <row r="9" spans="2:19" ht="15">
      <c r="B9" s="94" t="s">
        <v>70</v>
      </c>
      <c r="C9" s="95">
        <v>85.577518956398436</v>
      </c>
      <c r="D9" s="95">
        <v>112.08142093478442</v>
      </c>
      <c r="E9" s="96">
        <v>1</v>
      </c>
      <c r="F9" s="116">
        <v>876.625</v>
      </c>
      <c r="G9" s="114" t="s">
        <v>67</v>
      </c>
      <c r="H9" s="114" t="s">
        <v>68</v>
      </c>
      <c r="I9" s="116">
        <v>67.638096389985506</v>
      </c>
      <c r="J9" s="116">
        <v>112.08142093478442</v>
      </c>
      <c r="K9" s="112">
        <v>60.501842101728968</v>
      </c>
      <c r="L9" s="112">
        <v>67.525567400568207</v>
      </c>
      <c r="M9" s="112">
        <v>76.062655330452841</v>
      </c>
      <c r="N9" s="112">
        <v>78.246115384206291</v>
      </c>
      <c r="O9" s="112">
        <v>80.541072270011171</v>
      </c>
      <c r="P9" s="112">
        <v>80.27537955700511</v>
      </c>
      <c r="Q9" s="112">
        <v>73.728016752826179</v>
      </c>
      <c r="R9" s="112">
        <v>65.85717667772559</v>
      </c>
      <c r="S9" s="67" t="s">
        <v>333</v>
      </c>
    </row>
    <row r="10" spans="2:19" ht="15">
      <c r="B10" s="94" t="s">
        <v>71</v>
      </c>
      <c r="C10" s="95">
        <v>97.523274927286764</v>
      </c>
      <c r="D10" s="95">
        <v>114.63768436145858</v>
      </c>
      <c r="E10" s="96">
        <v>1</v>
      </c>
      <c r="F10" s="116">
        <v>1489.75</v>
      </c>
      <c r="G10" s="114" t="s">
        <v>67</v>
      </c>
      <c r="H10" s="114" t="s">
        <v>68</v>
      </c>
      <c r="I10" s="116">
        <v>78.207058901243187</v>
      </c>
      <c r="J10" s="116">
        <v>114.63768436145858</v>
      </c>
      <c r="K10" s="112">
        <v>76.668053969294874</v>
      </c>
      <c r="L10" s="112">
        <v>82.029885784182028</v>
      </c>
      <c r="M10" s="112">
        <v>88.705777065640945</v>
      </c>
      <c r="N10" s="112">
        <v>89.003020549555231</v>
      </c>
      <c r="O10" s="112">
        <v>93.462755978946461</v>
      </c>
      <c r="P10" s="112">
        <v>90.775331783663205</v>
      </c>
      <c r="Q10" s="112">
        <v>86.679703293532953</v>
      </c>
      <c r="R10" s="112">
        <v>74.745871872771545</v>
      </c>
      <c r="S10" s="67" t="s">
        <v>329</v>
      </c>
    </row>
    <row r="11" spans="2:19" ht="15">
      <c r="B11" s="107" t="s">
        <v>501</v>
      </c>
      <c r="C11" s="95">
        <v>86.853467202346678</v>
      </c>
      <c r="D11" s="95">
        <v>112.06340090827979</v>
      </c>
      <c r="E11" s="96">
        <v>1</v>
      </c>
      <c r="F11" s="116">
        <v>490.125</v>
      </c>
      <c r="G11" s="114" t="s">
        <v>67</v>
      </c>
      <c r="H11" s="114" t="s">
        <v>224</v>
      </c>
      <c r="I11" s="116">
        <v>66.358607608287329</v>
      </c>
      <c r="J11" s="116">
        <v>112.06340090827979</v>
      </c>
      <c r="K11" s="112">
        <v>61.796059283720794</v>
      </c>
      <c r="L11" s="112">
        <v>66.858552576731171</v>
      </c>
      <c r="M11" s="112">
        <v>73.949898042276175</v>
      </c>
      <c r="N11" s="112">
        <v>78.10809902267016</v>
      </c>
      <c r="O11" s="112">
        <v>81.223038267753566</v>
      </c>
      <c r="P11" s="112">
        <v>81.146380790856512</v>
      </c>
      <c r="Q11" s="112">
        <v>80.391787748330913</v>
      </c>
      <c r="R11" s="112">
        <v>72.175702733539524</v>
      </c>
      <c r="S11" s="67" t="s">
        <v>330</v>
      </c>
    </row>
    <row r="12" spans="2:19" ht="15">
      <c r="B12" s="94" t="s">
        <v>226</v>
      </c>
      <c r="C12" s="95">
        <v>77.360097319379946</v>
      </c>
      <c r="D12" s="95">
        <v>104.32919977598689</v>
      </c>
      <c r="E12" s="96">
        <v>1</v>
      </c>
      <c r="F12" s="116">
        <v>272.625</v>
      </c>
      <c r="G12" s="114" t="s">
        <v>357</v>
      </c>
      <c r="H12" s="114" t="s">
        <v>227</v>
      </c>
      <c r="I12" s="116">
        <v>56.503207415557327</v>
      </c>
      <c r="J12" s="116">
        <v>97.709208028992151</v>
      </c>
      <c r="K12" s="112">
        <v>54.25917181632488</v>
      </c>
      <c r="L12" s="112">
        <v>61.155602651995565</v>
      </c>
      <c r="M12" s="112">
        <v>65.82273015706302</v>
      </c>
      <c r="N12" s="112">
        <v>71.394101146641546</v>
      </c>
      <c r="O12" s="112">
        <v>72.731775253769229</v>
      </c>
      <c r="P12" s="112">
        <v>71.432478625494326</v>
      </c>
      <c r="Q12" s="112">
        <v>63.578755103067515</v>
      </c>
      <c r="R12" s="112">
        <v>55.162597559715749</v>
      </c>
      <c r="S12" s="67" t="s">
        <v>332</v>
      </c>
    </row>
    <row r="13" spans="2:19" ht="25.5" customHeight="1">
      <c r="B13" s="94" t="s">
        <v>225</v>
      </c>
      <c r="C13" s="95">
        <v>85.406285362989536</v>
      </c>
      <c r="D13" s="95">
        <v>101.74995234338547</v>
      </c>
      <c r="E13" s="96">
        <v>1</v>
      </c>
      <c r="F13" s="116">
        <v>1213.5</v>
      </c>
      <c r="G13" s="114" t="s">
        <v>357</v>
      </c>
      <c r="H13" s="114" t="s">
        <v>68</v>
      </c>
      <c r="I13" s="116">
        <v>65.97668157205959</v>
      </c>
      <c r="J13" s="116">
        <v>101.74995234338547</v>
      </c>
      <c r="K13" s="112">
        <v>66.632220467696186</v>
      </c>
      <c r="L13" s="112">
        <v>70.338505691943027</v>
      </c>
      <c r="M13" s="112">
        <v>73.889312024928927</v>
      </c>
      <c r="N13" s="112">
        <v>77.899789080218852</v>
      </c>
      <c r="O13" s="112">
        <v>81.003645838032583</v>
      </c>
      <c r="P13" s="112">
        <v>79.703103814765768</v>
      </c>
      <c r="Q13" s="112">
        <v>73.776568027359701</v>
      </c>
      <c r="R13" s="112">
        <v>63.857065226560422</v>
      </c>
      <c r="S13" s="121" t="s">
        <v>358</v>
      </c>
    </row>
    <row r="14" spans="2:19" ht="15">
      <c r="B14" s="108"/>
      <c r="C14" s="95"/>
      <c r="D14" s="95"/>
      <c r="E14" s="95"/>
      <c r="F14" s="114"/>
      <c r="G14" s="114"/>
      <c r="H14" s="114"/>
      <c r="I14" s="114"/>
      <c r="J14" s="114"/>
      <c r="K14" s="112"/>
      <c r="L14" s="112"/>
      <c r="M14" s="112"/>
      <c r="N14" s="112"/>
      <c r="O14" s="112"/>
      <c r="P14" s="112"/>
      <c r="Q14" s="112"/>
      <c r="R14" s="112"/>
      <c r="S14" s="67"/>
    </row>
    <row r="16" spans="2:19">
      <c r="B16" s="120"/>
      <c r="D16" s="119"/>
    </row>
    <row r="17" spans="2:5">
      <c r="B17" s="120"/>
      <c r="E17" s="119"/>
    </row>
    <row r="18" spans="2:5">
      <c r="B18" s="120"/>
      <c r="E18" s="119"/>
    </row>
    <row r="19" spans="2:5">
      <c r="B19" s="120"/>
      <c r="D19" s="119"/>
    </row>
    <row r="20" spans="2:5">
      <c r="B20" s="120"/>
      <c r="E20" s="119"/>
    </row>
  </sheetData>
  <sheetProtection sheet="1" objects="1" scenarios="1"/>
  <sortState ref="B9:S13">
    <sortCondition ref="B8"/>
  </sortState>
  <mergeCells count="1">
    <mergeCell ref="K5:R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tint="0.59999389629810485"/>
  </sheetPr>
  <dimension ref="B1:AF297"/>
  <sheetViews>
    <sheetView workbookViewId="0"/>
  </sheetViews>
  <sheetFormatPr defaultRowHeight="11.25"/>
  <cols>
    <col min="1" max="1" width="2.75" customWidth="1"/>
    <col min="2" max="2" width="60.5" customWidth="1"/>
    <col min="3" max="3" width="27.25" customWidth="1"/>
    <col min="4" max="4" width="14.625" customWidth="1"/>
    <col min="5" max="5" width="14.25" customWidth="1"/>
    <col min="6" max="6" width="23.25" customWidth="1"/>
    <col min="7" max="7" width="15.625" customWidth="1"/>
    <col min="8" max="8" width="26.375" customWidth="1"/>
    <col min="9" max="15" width="11.5" customWidth="1"/>
    <col min="16" max="31" width="6" customWidth="1"/>
    <col min="32" max="32" width="145.875" bestFit="1" customWidth="1"/>
  </cols>
  <sheetData>
    <row r="1" spans="2:32" ht="24.75">
      <c r="B1" s="61" t="s">
        <v>52</v>
      </c>
    </row>
    <row r="2" spans="2:32" ht="11.25" customHeight="1">
      <c r="B2" t="s">
        <v>326</v>
      </c>
    </row>
    <row r="3" spans="2:32" ht="11.25" customHeight="1">
      <c r="B3" t="s">
        <v>327</v>
      </c>
    </row>
    <row r="4" spans="2:32">
      <c r="B4" t="s">
        <v>328</v>
      </c>
    </row>
    <row r="5" spans="2:32" ht="22.5" customHeight="1">
      <c r="B5" s="91"/>
      <c r="C5" s="91"/>
      <c r="D5" s="91"/>
      <c r="E5" s="91"/>
      <c r="F5" s="91"/>
    </row>
    <row r="6" spans="2:32" ht="43.5" customHeight="1">
      <c r="B6" s="196" t="s">
        <v>228</v>
      </c>
      <c r="C6" s="92" t="s">
        <v>366</v>
      </c>
      <c r="D6" s="92" t="s">
        <v>17</v>
      </c>
      <c r="E6" s="93" t="s">
        <v>168</v>
      </c>
      <c r="F6" s="93"/>
      <c r="G6" s="93"/>
      <c r="H6" s="93"/>
      <c r="I6" s="92" t="s">
        <v>229</v>
      </c>
      <c r="J6" s="92" t="s">
        <v>230</v>
      </c>
      <c r="K6" s="92" t="s">
        <v>231</v>
      </c>
      <c r="L6" s="92" t="s">
        <v>232</v>
      </c>
      <c r="M6" s="92" t="s">
        <v>233</v>
      </c>
      <c r="N6" s="92" t="s">
        <v>182</v>
      </c>
      <c r="O6" s="92" t="s">
        <v>183</v>
      </c>
      <c r="P6" s="193" t="s">
        <v>361</v>
      </c>
      <c r="Q6" s="198"/>
      <c r="R6" s="198"/>
      <c r="S6" s="198"/>
      <c r="T6" s="198"/>
      <c r="U6" s="198"/>
      <c r="V6" s="198"/>
      <c r="W6" s="199"/>
      <c r="X6" s="193" t="s">
        <v>362</v>
      </c>
      <c r="Y6" s="198"/>
      <c r="Z6" s="198"/>
      <c r="AA6" s="198"/>
      <c r="AB6" s="198"/>
      <c r="AC6" s="198"/>
      <c r="AD6" s="198"/>
      <c r="AE6" s="199"/>
      <c r="AF6" s="93"/>
    </row>
    <row r="7" spans="2:32" ht="14.25">
      <c r="B7" s="197"/>
      <c r="C7" s="123" t="s">
        <v>364</v>
      </c>
      <c r="D7" s="123" t="s">
        <v>365</v>
      </c>
      <c r="E7" s="123" t="s">
        <v>234</v>
      </c>
      <c r="F7" s="93" t="s">
        <v>169</v>
      </c>
      <c r="G7" s="93" t="s">
        <v>170</v>
      </c>
      <c r="H7" s="93" t="s">
        <v>171</v>
      </c>
      <c r="I7" s="123" t="s">
        <v>235</v>
      </c>
      <c r="J7" s="123" t="s">
        <v>236</v>
      </c>
      <c r="K7" s="123" t="s">
        <v>360</v>
      </c>
      <c r="L7" s="123" t="s">
        <v>237</v>
      </c>
      <c r="M7" s="123" t="s">
        <v>359</v>
      </c>
      <c r="N7" s="123" t="s">
        <v>360</v>
      </c>
      <c r="O7" s="123" t="s">
        <v>359</v>
      </c>
      <c r="P7" s="123">
        <v>63</v>
      </c>
      <c r="Q7" s="123">
        <v>125</v>
      </c>
      <c r="R7" s="123">
        <v>250</v>
      </c>
      <c r="S7" s="123">
        <v>500</v>
      </c>
      <c r="T7" s="123">
        <v>1000</v>
      </c>
      <c r="U7" s="123">
        <v>2000</v>
      </c>
      <c r="V7" s="123">
        <v>4000</v>
      </c>
      <c r="W7" s="123">
        <v>8000</v>
      </c>
      <c r="X7" s="123">
        <v>63</v>
      </c>
      <c r="Y7" s="123">
        <v>125</v>
      </c>
      <c r="Z7" s="123">
        <v>250</v>
      </c>
      <c r="AA7" s="123">
        <v>500</v>
      </c>
      <c r="AB7" s="123">
        <v>1000</v>
      </c>
      <c r="AC7" s="123">
        <v>2000</v>
      </c>
      <c r="AD7" s="123">
        <v>4000</v>
      </c>
      <c r="AE7" s="123">
        <v>8000</v>
      </c>
      <c r="AF7" s="118" t="s">
        <v>55</v>
      </c>
    </row>
    <row r="8" spans="2:32">
      <c r="B8" s="98" t="s">
        <v>195</v>
      </c>
      <c r="C8" s="99"/>
      <c r="D8" s="99"/>
      <c r="E8" s="99"/>
      <c r="F8" s="99"/>
      <c r="G8" s="99"/>
      <c r="H8" s="99"/>
      <c r="I8" s="99"/>
      <c r="J8" s="99"/>
      <c r="K8" s="99"/>
      <c r="L8" s="99"/>
      <c r="M8" s="99"/>
      <c r="N8" s="99"/>
      <c r="O8" s="99"/>
      <c r="P8" s="99"/>
      <c r="Q8" s="99"/>
      <c r="R8" s="99"/>
      <c r="S8" s="99"/>
      <c r="T8" s="99"/>
      <c r="U8" s="99"/>
      <c r="V8" s="99"/>
      <c r="W8" s="99"/>
      <c r="X8" s="100"/>
      <c r="Y8" s="98"/>
      <c r="Z8" s="99"/>
      <c r="AA8" s="99"/>
      <c r="AB8" s="99"/>
      <c r="AC8" s="99"/>
      <c r="AD8" s="99"/>
      <c r="AE8" s="99"/>
      <c r="AF8" s="99"/>
    </row>
    <row r="9" spans="2:32">
      <c r="B9" s="101" t="s">
        <v>185</v>
      </c>
      <c r="C9" s="102"/>
      <c r="D9" s="102"/>
      <c r="E9" s="103"/>
      <c r="F9" s="104"/>
      <c r="G9" s="104"/>
      <c r="H9" s="104"/>
      <c r="I9" s="105"/>
      <c r="J9" s="105"/>
      <c r="K9" s="105"/>
      <c r="L9" s="105"/>
      <c r="M9" s="105"/>
      <c r="N9" s="105"/>
      <c r="O9" s="105"/>
      <c r="P9" s="105"/>
      <c r="Q9" s="105"/>
      <c r="R9" s="105"/>
      <c r="S9" s="105"/>
      <c r="T9" s="105"/>
      <c r="U9" s="105"/>
      <c r="V9" s="105"/>
      <c r="W9" s="105"/>
      <c r="X9" s="105"/>
      <c r="Y9" s="105"/>
      <c r="Z9" s="105"/>
      <c r="AA9" s="105"/>
      <c r="AB9" s="105"/>
      <c r="AC9" s="105"/>
      <c r="AD9" s="105"/>
      <c r="AE9" s="105"/>
      <c r="AF9" s="106"/>
    </row>
    <row r="10" spans="2:32">
      <c r="B10" s="107" t="s">
        <v>503</v>
      </c>
      <c r="C10" s="102">
        <v>77.8</v>
      </c>
      <c r="D10" s="102">
        <v>92.8</v>
      </c>
      <c r="E10" s="103">
        <v>0.05</v>
      </c>
      <c r="F10" s="104" t="s">
        <v>177</v>
      </c>
      <c r="G10" s="104" t="s">
        <v>172</v>
      </c>
      <c r="H10" s="104" t="s">
        <v>176</v>
      </c>
      <c r="I10" s="105">
        <v>15</v>
      </c>
      <c r="J10" s="105" t="s">
        <v>185</v>
      </c>
      <c r="K10" s="105" t="s">
        <v>185</v>
      </c>
      <c r="L10" s="105">
        <v>22</v>
      </c>
      <c r="M10" s="105"/>
      <c r="N10" s="105">
        <f>ROUND(C10,1)</f>
        <v>77.8</v>
      </c>
      <c r="O10" s="105">
        <f>ROUND(D10,1)</f>
        <v>92.8</v>
      </c>
      <c r="P10" s="105">
        <v>56.924897290529415</v>
      </c>
      <c r="Q10" s="105">
        <v>58.506796518052582</v>
      </c>
      <c r="R10" s="105">
        <v>61.568984235401238</v>
      </c>
      <c r="S10" s="105">
        <v>75.2810307147451</v>
      </c>
      <c r="T10" s="105">
        <v>71.990927665293754</v>
      </c>
      <c r="U10" s="105">
        <v>63.989897481172235</v>
      </c>
      <c r="V10" s="105">
        <v>62.839526282086403</v>
      </c>
      <c r="W10" s="105">
        <v>54.329814605888714</v>
      </c>
      <c r="X10" s="105"/>
      <c r="Y10" s="105"/>
      <c r="Z10" s="105"/>
      <c r="AA10" s="105"/>
      <c r="AB10" s="105"/>
      <c r="AC10" s="105"/>
      <c r="AD10" s="105"/>
      <c r="AE10" s="105"/>
      <c r="AF10" s="106" t="s">
        <v>239</v>
      </c>
    </row>
    <row r="11" spans="2:32">
      <c r="B11" s="107" t="s">
        <v>426</v>
      </c>
      <c r="C11" s="102">
        <v>84.324684097222317</v>
      </c>
      <c r="D11" s="102">
        <v>101.02142093478442</v>
      </c>
      <c r="E11" s="103">
        <v>0.01</v>
      </c>
      <c r="F11" s="104" t="s">
        <v>67</v>
      </c>
      <c r="G11" s="104" t="s">
        <v>181</v>
      </c>
      <c r="H11" s="104" t="s">
        <v>240</v>
      </c>
      <c r="I11" s="105">
        <v>17.100000000000001</v>
      </c>
      <c r="J11" s="105"/>
      <c r="K11" s="105">
        <v>57.693263162437901</v>
      </c>
      <c r="L11" s="105">
        <v>16.5</v>
      </c>
      <c r="M11" s="105">
        <v>74.39</v>
      </c>
      <c r="N11" s="105">
        <v>66.797091199031968</v>
      </c>
      <c r="O11" s="105">
        <v>81.54869694000908</v>
      </c>
      <c r="P11" s="105">
        <v>57.626550209271741</v>
      </c>
      <c r="Q11" s="105">
        <v>64.761012894528292</v>
      </c>
      <c r="R11" s="105">
        <v>71.631337280566299</v>
      </c>
      <c r="S11" s="105">
        <v>78.004796991258615</v>
      </c>
      <c r="T11" s="105">
        <v>79.509225423138361</v>
      </c>
      <c r="U11" s="105">
        <v>78.964720370897197</v>
      </c>
      <c r="V11" s="105">
        <v>72.621436133990088</v>
      </c>
      <c r="W11" s="105">
        <v>64.770234917394959</v>
      </c>
      <c r="X11" s="105"/>
      <c r="Y11" s="105"/>
      <c r="Z11" s="105"/>
      <c r="AA11" s="105"/>
      <c r="AB11" s="105"/>
      <c r="AC11" s="105"/>
      <c r="AD11" s="105"/>
      <c r="AE11" s="105"/>
      <c r="AF11" s="106" t="s">
        <v>428</v>
      </c>
    </row>
    <row r="12" spans="2:32">
      <c r="B12" s="107" t="s">
        <v>427</v>
      </c>
      <c r="C12" s="102">
        <v>89.71159407673116</v>
      </c>
      <c r="D12" s="102">
        <v>100.97322901868344</v>
      </c>
      <c r="E12" s="103">
        <v>0.05</v>
      </c>
      <c r="F12" s="104"/>
      <c r="G12" s="104"/>
      <c r="H12" s="104"/>
      <c r="I12" s="105">
        <v>12</v>
      </c>
      <c r="J12" s="105"/>
      <c r="K12" s="105">
        <v>61.780857049534426</v>
      </c>
      <c r="L12" s="105">
        <v>28.1875</v>
      </c>
      <c r="M12" s="105">
        <v>73.025000000000006</v>
      </c>
      <c r="N12" s="105">
        <v>67.915242889010983</v>
      </c>
      <c r="O12" s="105">
        <v>77.713509174539524</v>
      </c>
      <c r="P12" s="105">
        <v>73.176210221722982</v>
      </c>
      <c r="Q12" s="105">
        <v>72.350968212821613</v>
      </c>
      <c r="R12" s="105">
        <v>78.075287728896825</v>
      </c>
      <c r="S12" s="105">
        <v>83.447144826030978</v>
      </c>
      <c r="T12" s="105">
        <v>85.721744244464503</v>
      </c>
      <c r="U12" s="105">
        <v>82.793155952363335</v>
      </c>
      <c r="V12" s="105">
        <v>76.487043237437376</v>
      </c>
      <c r="W12" s="105">
        <v>66.276547706250028</v>
      </c>
      <c r="X12" s="105"/>
      <c r="Y12" s="105"/>
      <c r="Z12" s="105"/>
      <c r="AA12" s="105"/>
      <c r="AB12" s="105"/>
      <c r="AC12" s="105"/>
      <c r="AD12" s="105"/>
      <c r="AE12" s="105"/>
      <c r="AF12" s="106" t="s">
        <v>429</v>
      </c>
    </row>
    <row r="13" spans="2:32">
      <c r="B13" s="107" t="s">
        <v>502</v>
      </c>
      <c r="C13" s="102">
        <v>73.3</v>
      </c>
      <c r="D13" s="102">
        <v>87.4</v>
      </c>
      <c r="E13" s="103">
        <v>0.05</v>
      </c>
      <c r="F13" s="104" t="s">
        <v>177</v>
      </c>
      <c r="G13" s="104" t="s">
        <v>172</v>
      </c>
      <c r="H13" s="104" t="s">
        <v>173</v>
      </c>
      <c r="I13" s="105">
        <v>15</v>
      </c>
      <c r="J13" s="105" t="s">
        <v>185</v>
      </c>
      <c r="K13" s="105" t="s">
        <v>185</v>
      </c>
      <c r="L13" s="105">
        <v>24</v>
      </c>
      <c r="M13" s="105"/>
      <c r="N13" s="105">
        <f>ROUND(C13,1)</f>
        <v>73.3</v>
      </c>
      <c r="O13" s="105">
        <f>ROUND(D13,1)</f>
        <v>87.4</v>
      </c>
      <c r="P13" s="105">
        <v>49.970337836000304</v>
      </c>
      <c r="Q13" s="105">
        <v>54.259630637737018</v>
      </c>
      <c r="R13" s="105">
        <v>57.205286189003019</v>
      </c>
      <c r="S13" s="105">
        <v>71.880922688794527</v>
      </c>
      <c r="T13" s="105">
        <v>65.490255043973065</v>
      </c>
      <c r="U13" s="105">
        <v>58.066335100631505</v>
      </c>
      <c r="V13" s="105">
        <v>55.051543920368701</v>
      </c>
      <c r="W13" s="105">
        <v>48.780682261003676</v>
      </c>
      <c r="X13" s="105"/>
      <c r="Y13" s="105"/>
      <c r="Z13" s="105"/>
      <c r="AA13" s="105"/>
      <c r="AB13" s="105"/>
      <c r="AC13" s="105"/>
      <c r="AD13" s="105"/>
      <c r="AE13" s="105"/>
      <c r="AF13" s="106" t="s">
        <v>238</v>
      </c>
    </row>
    <row r="14" spans="2:32">
      <c r="B14" s="107" t="s">
        <v>543</v>
      </c>
      <c r="C14" s="102">
        <v>87.217711295308646</v>
      </c>
      <c r="D14" s="102">
        <v>91.02389465087731</v>
      </c>
      <c r="E14" s="103">
        <v>0.01</v>
      </c>
      <c r="F14" s="104" t="s">
        <v>67</v>
      </c>
      <c r="G14" s="104" t="s">
        <v>181</v>
      </c>
      <c r="H14" s="104" t="s">
        <v>244</v>
      </c>
      <c r="I14" s="105">
        <v>13.4</v>
      </c>
      <c r="J14" s="105"/>
      <c r="K14" s="105">
        <v>59.693816644431337</v>
      </c>
      <c r="L14" s="105">
        <v>4.25</v>
      </c>
      <c r="M14" s="105">
        <v>63.5</v>
      </c>
      <c r="N14" s="105">
        <v>65.448760073120539</v>
      </c>
      <c r="O14" s="105">
        <v>68.540870699462147</v>
      </c>
      <c r="P14" s="105">
        <v>59.986456189431699</v>
      </c>
      <c r="Q14" s="105">
        <v>60.8349650697347</v>
      </c>
      <c r="R14" s="105">
        <v>66.409911585577987</v>
      </c>
      <c r="S14" s="105">
        <v>70.641799914234042</v>
      </c>
      <c r="T14" s="105">
        <v>78.235177370888209</v>
      </c>
      <c r="U14" s="105">
        <v>78.998019746057466</v>
      </c>
      <c r="V14" s="105">
        <v>82.412510625214381</v>
      </c>
      <c r="W14" s="105">
        <v>82.752901931475648</v>
      </c>
      <c r="X14" s="105"/>
      <c r="Y14" s="105"/>
      <c r="Z14" s="105"/>
      <c r="AA14" s="105"/>
      <c r="AB14" s="105"/>
      <c r="AC14" s="105"/>
      <c r="AD14" s="105"/>
      <c r="AE14" s="105"/>
      <c r="AF14" s="106" t="s">
        <v>244</v>
      </c>
    </row>
    <row r="15" spans="2:32">
      <c r="B15" s="107" t="s">
        <v>544</v>
      </c>
      <c r="C15" s="102">
        <v>88.235952484944193</v>
      </c>
      <c r="D15" s="102">
        <v>99.88995234338546</v>
      </c>
      <c r="E15" s="103">
        <v>0.01</v>
      </c>
      <c r="F15" s="104" t="s">
        <v>66</v>
      </c>
      <c r="G15" s="104" t="s">
        <v>242</v>
      </c>
      <c r="H15" s="104" t="s">
        <v>241</v>
      </c>
      <c r="I15" s="105">
        <v>22</v>
      </c>
      <c r="J15" s="105"/>
      <c r="K15" s="105">
        <v>59.416000141558733</v>
      </c>
      <c r="L15" s="105">
        <v>3</v>
      </c>
      <c r="M15" s="105">
        <v>71.069999999999993</v>
      </c>
      <c r="N15" s="105">
        <v>68.763228490168856</v>
      </c>
      <c r="O15" s="105">
        <v>80.417228348610109</v>
      </c>
      <c r="P15" s="105">
        <v>62.907390323342362</v>
      </c>
      <c r="Q15" s="105">
        <v>68.590607832881147</v>
      </c>
      <c r="R15" s="105">
        <v>73.864093722720654</v>
      </c>
      <c r="S15" s="105">
        <v>82.486862212528138</v>
      </c>
      <c r="T15" s="105">
        <v>84.165463361700972</v>
      </c>
      <c r="U15" s="105">
        <v>81.612904203159559</v>
      </c>
      <c r="V15" s="105">
        <v>76.734619899599309</v>
      </c>
      <c r="W15" s="105">
        <v>63.622144769131204</v>
      </c>
      <c r="X15" s="105"/>
      <c r="Y15" s="105"/>
      <c r="Z15" s="105"/>
      <c r="AA15" s="105"/>
      <c r="AB15" s="105"/>
      <c r="AC15" s="105"/>
      <c r="AD15" s="105"/>
      <c r="AE15" s="105"/>
      <c r="AF15" s="106" t="s">
        <v>241</v>
      </c>
    </row>
    <row r="16" spans="2:32">
      <c r="B16" s="107" t="s">
        <v>430</v>
      </c>
      <c r="C16" s="102">
        <v>95.658672390973848</v>
      </c>
      <c r="D16" s="102">
        <v>112.08142093478442</v>
      </c>
      <c r="E16" s="103">
        <v>0.01</v>
      </c>
      <c r="F16" s="104" t="s">
        <v>67</v>
      </c>
      <c r="G16" s="104" t="s">
        <v>181</v>
      </c>
      <c r="H16" s="104" t="s">
        <v>243</v>
      </c>
      <c r="I16" s="105">
        <v>17.100000000000001</v>
      </c>
      <c r="J16" s="105"/>
      <c r="K16" s="105">
        <v>69.027251456189433</v>
      </c>
      <c r="L16" s="105">
        <v>12.25</v>
      </c>
      <c r="M16" s="105">
        <v>85.45</v>
      </c>
      <c r="N16" s="105">
        <v>76.362779621260501</v>
      </c>
      <c r="O16" s="105">
        <v>92.608696940009082</v>
      </c>
      <c r="P16" s="105">
        <v>66.833897967376615</v>
      </c>
      <c r="Q16" s="105">
        <v>73.637870812520916</v>
      </c>
      <c r="R16" s="105">
        <v>82.509253609379385</v>
      </c>
      <c r="S16" s="105">
        <v>85.317414123180498</v>
      </c>
      <c r="T16" s="105">
        <v>91.043867570669363</v>
      </c>
      <c r="U16" s="105">
        <v>91.246930388935553</v>
      </c>
      <c r="V16" s="105">
        <v>86.575564551173386</v>
      </c>
      <c r="W16" s="105">
        <v>78.751173026193243</v>
      </c>
      <c r="X16" s="105"/>
      <c r="Y16" s="105"/>
      <c r="Z16" s="105"/>
      <c r="AA16" s="105"/>
      <c r="AB16" s="105"/>
      <c r="AC16" s="105"/>
      <c r="AD16" s="105"/>
      <c r="AE16" s="105"/>
      <c r="AF16" s="106" t="s">
        <v>243</v>
      </c>
    </row>
    <row r="17" spans="2:32">
      <c r="B17" s="107" t="s">
        <v>431</v>
      </c>
      <c r="C17" s="102">
        <v>87.87993044554166</v>
      </c>
      <c r="D17" s="102">
        <v>98.831720891424226</v>
      </c>
      <c r="E17" s="103">
        <v>0.05</v>
      </c>
      <c r="F17" s="104" t="s">
        <v>67</v>
      </c>
      <c r="G17" s="104" t="s">
        <v>181</v>
      </c>
      <c r="H17" s="104" t="s">
        <v>245</v>
      </c>
      <c r="I17" s="105">
        <v>17.100000000000001</v>
      </c>
      <c r="J17" s="105"/>
      <c r="K17" s="105">
        <v>58.238209554117432</v>
      </c>
      <c r="L17" s="105">
        <v>64.25</v>
      </c>
      <c r="M17" s="105">
        <v>69.19</v>
      </c>
      <c r="N17" s="105">
        <v>67.153092209299913</v>
      </c>
      <c r="O17" s="105">
        <v>76.348696940009077</v>
      </c>
      <c r="P17" s="105">
        <v>69.377471831919564</v>
      </c>
      <c r="Q17" s="105">
        <v>73.52041946922165</v>
      </c>
      <c r="R17" s="105">
        <v>74.899581917372743</v>
      </c>
      <c r="S17" s="105">
        <v>79.025273238410335</v>
      </c>
      <c r="T17" s="105">
        <v>84.152487305025673</v>
      </c>
      <c r="U17" s="105">
        <v>82.303609177072133</v>
      </c>
      <c r="V17" s="105">
        <v>75.786576523553236</v>
      </c>
      <c r="W17" s="105">
        <v>65.759267293488904</v>
      </c>
      <c r="X17" s="105"/>
      <c r="Y17" s="105"/>
      <c r="Z17" s="105"/>
      <c r="AA17" s="105"/>
      <c r="AB17" s="105"/>
      <c r="AC17" s="105"/>
      <c r="AD17" s="105"/>
      <c r="AE17" s="105"/>
      <c r="AF17" s="106" t="s">
        <v>245</v>
      </c>
    </row>
    <row r="18" spans="2:32">
      <c r="B18" s="107" t="s">
        <v>545</v>
      </c>
      <c r="C18" s="102">
        <v>90.357006692824456</v>
      </c>
      <c r="D18" s="102">
        <v>98.894328564945155</v>
      </c>
      <c r="E18" s="103">
        <v>0.05</v>
      </c>
      <c r="F18" s="104"/>
      <c r="G18" s="104"/>
      <c r="H18" s="104"/>
      <c r="I18" s="105">
        <v>13.833333333333334</v>
      </c>
      <c r="J18" s="105"/>
      <c r="K18" s="105">
        <v>59.315801239902399</v>
      </c>
      <c r="L18" s="105">
        <v>31.333333333333332</v>
      </c>
      <c r="M18" s="105">
        <v>70.303333333333327</v>
      </c>
      <c r="N18" s="105">
        <v>66.119535887307549</v>
      </c>
      <c r="O18" s="105">
        <v>75.62064490534793</v>
      </c>
      <c r="P18" s="105">
        <v>72.126567758275897</v>
      </c>
      <c r="Q18" s="105">
        <v>71.788110797211033</v>
      </c>
      <c r="R18" s="105">
        <v>75.567259422220445</v>
      </c>
      <c r="S18" s="105">
        <v>80.968606947941893</v>
      </c>
      <c r="T18" s="105">
        <v>83.379654067151208</v>
      </c>
      <c r="U18" s="105">
        <v>82.529427025936116</v>
      </c>
      <c r="V18" s="105">
        <v>75.424184643835815</v>
      </c>
      <c r="W18" s="105">
        <v>66.365281082396564</v>
      </c>
      <c r="X18" s="105"/>
      <c r="Y18" s="105"/>
      <c r="Z18" s="105"/>
      <c r="AA18" s="105"/>
      <c r="AB18" s="105"/>
      <c r="AC18" s="105"/>
      <c r="AD18" s="105"/>
      <c r="AE18" s="105"/>
      <c r="AF18" s="106" t="s">
        <v>424</v>
      </c>
    </row>
    <row r="19" spans="2:32">
      <c r="B19" s="107" t="s">
        <v>369</v>
      </c>
      <c r="C19" s="102">
        <v>88.060015503289847</v>
      </c>
      <c r="D19" s="102">
        <v>106.62387805039808</v>
      </c>
      <c r="E19" s="103">
        <v>0.1</v>
      </c>
      <c r="F19" s="104" t="s">
        <v>67</v>
      </c>
      <c r="G19" s="122" t="s">
        <v>342</v>
      </c>
      <c r="H19" s="104" t="s">
        <v>134</v>
      </c>
      <c r="I19" s="105" t="s">
        <v>185</v>
      </c>
      <c r="J19" s="105" t="s">
        <v>185</v>
      </c>
      <c r="K19" s="105" t="s">
        <v>185</v>
      </c>
      <c r="L19" s="105" t="s">
        <v>185</v>
      </c>
      <c r="M19" s="105"/>
      <c r="N19" s="105">
        <f>C19-10 *LOG(2*PI()*7.5^2)</f>
        <v>62.576991551874698</v>
      </c>
      <c r="O19" s="105">
        <f>D19-10 *LOG(2*PI()*7.5^2)</f>
        <v>81.140854098982928</v>
      </c>
      <c r="P19" s="105">
        <v>77</v>
      </c>
      <c r="Q19" s="105">
        <v>77</v>
      </c>
      <c r="R19" s="105">
        <v>78</v>
      </c>
      <c r="S19" s="105">
        <v>80</v>
      </c>
      <c r="T19" s="105">
        <v>81</v>
      </c>
      <c r="U19" s="105">
        <v>82</v>
      </c>
      <c r="V19" s="105">
        <v>79</v>
      </c>
      <c r="W19" s="105">
        <v>71</v>
      </c>
      <c r="X19" s="105">
        <v>82</v>
      </c>
      <c r="Y19" s="105">
        <v>86</v>
      </c>
      <c r="Z19" s="105">
        <v>93</v>
      </c>
      <c r="AA19" s="105">
        <v>97</v>
      </c>
      <c r="AB19" s="105">
        <v>99</v>
      </c>
      <c r="AC19" s="105">
        <v>100</v>
      </c>
      <c r="AD19" s="105">
        <v>103</v>
      </c>
      <c r="AE19" s="105">
        <v>87</v>
      </c>
      <c r="AF19" s="106" t="s">
        <v>343</v>
      </c>
    </row>
    <row r="20" spans="2:32">
      <c r="B20" s="94"/>
      <c r="C20" s="102"/>
      <c r="D20" s="102"/>
      <c r="E20" s="103"/>
      <c r="F20" s="104"/>
      <c r="G20" s="104"/>
      <c r="H20" s="104"/>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6"/>
    </row>
    <row r="21" spans="2:32">
      <c r="B21" s="98" t="s">
        <v>193</v>
      </c>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row>
    <row r="22" spans="2:32">
      <c r="B22" s="101" t="s">
        <v>185</v>
      </c>
      <c r="C22" s="102"/>
      <c r="D22" s="102"/>
      <c r="E22" s="103"/>
      <c r="F22" s="104"/>
      <c r="G22" s="104"/>
      <c r="H22" s="104"/>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6"/>
    </row>
    <row r="23" spans="2:32">
      <c r="B23" s="107" t="s">
        <v>370</v>
      </c>
      <c r="C23" s="102">
        <v>93.984467082407164</v>
      </c>
      <c r="D23" s="102">
        <v>111.31780103712917</v>
      </c>
      <c r="E23" s="103">
        <v>0.1</v>
      </c>
      <c r="F23" s="104" t="s">
        <v>264</v>
      </c>
      <c r="G23" s="104" t="s">
        <v>185</v>
      </c>
      <c r="H23" s="104" t="s">
        <v>132</v>
      </c>
      <c r="I23" s="105">
        <v>10</v>
      </c>
      <c r="J23" s="105" t="s">
        <v>185</v>
      </c>
      <c r="K23" s="105">
        <v>66.002668398826017</v>
      </c>
      <c r="L23" s="105">
        <v>38</v>
      </c>
      <c r="M23" s="105">
        <v>83.336002353548025</v>
      </c>
      <c r="N23" s="105">
        <v>68.501443130992016</v>
      </c>
      <c r="O23" s="105">
        <v>85.834777085714023</v>
      </c>
      <c r="P23" s="105">
        <v>61.146072959224128</v>
      </c>
      <c r="Q23" s="105">
        <v>67.041279704512377</v>
      </c>
      <c r="R23" s="105">
        <v>74.671290506524528</v>
      </c>
      <c r="S23" s="105">
        <v>87.358894256426751</v>
      </c>
      <c r="T23" s="105">
        <v>89.449593174732669</v>
      </c>
      <c r="U23" s="105">
        <v>88.848868450000765</v>
      </c>
      <c r="V23" s="105">
        <v>83.580912816618522</v>
      </c>
      <c r="W23" s="105">
        <v>76.689915284932866</v>
      </c>
      <c r="X23" s="105">
        <v>69.081207789827062</v>
      </c>
      <c r="Y23" s="105">
        <v>78.731556096518176</v>
      </c>
      <c r="Z23" s="105">
        <v>90.754369165731845</v>
      </c>
      <c r="AA23" s="105">
        <v>104.30205475412554</v>
      </c>
      <c r="AB23" s="105">
        <v>107.2075963196484</v>
      </c>
      <c r="AC23" s="105">
        <v>106.07239983701203</v>
      </c>
      <c r="AD23" s="105">
        <v>100.73521089179256</v>
      </c>
      <c r="AE23" s="105">
        <v>93.715482636499544</v>
      </c>
      <c r="AF23" s="106" t="s">
        <v>72</v>
      </c>
    </row>
    <row r="24" spans="2:32">
      <c r="B24" s="107" t="s">
        <v>371</v>
      </c>
      <c r="C24" s="102">
        <v>91.841925802881221</v>
      </c>
      <c r="D24" s="102">
        <v>107.10935026422156</v>
      </c>
      <c r="E24" s="103">
        <v>0.15</v>
      </c>
      <c r="F24" s="104" t="s">
        <v>264</v>
      </c>
      <c r="G24" s="104" t="s">
        <v>185</v>
      </c>
      <c r="H24" s="104" t="s">
        <v>132</v>
      </c>
      <c r="I24" s="105">
        <v>10</v>
      </c>
      <c r="J24" s="105" t="s">
        <v>185</v>
      </c>
      <c r="K24" s="105">
        <v>63.860127119300067</v>
      </c>
      <c r="L24" s="105">
        <v>42</v>
      </c>
      <c r="M24" s="105">
        <v>79.127551580640414</v>
      </c>
      <c r="N24" s="105">
        <v>66.358901851466072</v>
      </c>
      <c r="O24" s="105">
        <v>81.626326312806412</v>
      </c>
      <c r="P24" s="105">
        <v>58.854559027194426</v>
      </c>
      <c r="Q24" s="105">
        <v>64.411830807519209</v>
      </c>
      <c r="R24" s="105">
        <v>71.292996085282709</v>
      </c>
      <c r="S24" s="105">
        <v>83.402784784995475</v>
      </c>
      <c r="T24" s="105">
        <v>87.279979558950231</v>
      </c>
      <c r="U24" s="105">
        <v>87.062436738032503</v>
      </c>
      <c r="V24" s="105">
        <v>82.949769156972124</v>
      </c>
      <c r="W24" s="105">
        <v>77.167628227832694</v>
      </c>
      <c r="X24" s="105">
        <v>64.878737643412762</v>
      </c>
      <c r="Y24" s="105">
        <v>75.136716094080896</v>
      </c>
      <c r="Z24" s="105">
        <v>84.388645726003062</v>
      </c>
      <c r="AA24" s="105">
        <v>96.130268000876782</v>
      </c>
      <c r="AB24" s="105">
        <v>101.55849009292372</v>
      </c>
      <c r="AC24" s="105">
        <v>103.53500165109803</v>
      </c>
      <c r="AD24" s="105">
        <v>98.513449765343324</v>
      </c>
      <c r="AE24" s="105">
        <v>94.767276886698383</v>
      </c>
      <c r="AF24" s="106" t="s">
        <v>73</v>
      </c>
    </row>
    <row r="25" spans="2:32">
      <c r="B25" s="107" t="s">
        <v>432</v>
      </c>
      <c r="C25" s="102">
        <v>75.546015289838735</v>
      </c>
      <c r="D25" s="102">
        <v>82.992098640220959</v>
      </c>
      <c r="E25" s="103">
        <v>0.05</v>
      </c>
      <c r="F25" s="104" t="s">
        <v>135</v>
      </c>
      <c r="G25" s="104" t="s">
        <v>136</v>
      </c>
      <c r="H25" s="104" t="s">
        <v>134</v>
      </c>
      <c r="I25" s="105">
        <v>10</v>
      </c>
      <c r="J25" s="105">
        <v>1.0555555555555556</v>
      </c>
      <c r="K25" s="105">
        <v>47.553916649617769</v>
      </c>
      <c r="L25" s="105">
        <v>9.5</v>
      </c>
      <c r="M25" s="105">
        <v>55</v>
      </c>
      <c r="N25" s="105">
        <v>50.052691381783767</v>
      </c>
      <c r="O25" s="105">
        <v>57.498774732165998</v>
      </c>
      <c r="P25" s="105">
        <v>48.06245271516449</v>
      </c>
      <c r="Q25" s="105">
        <v>58.072885163973723</v>
      </c>
      <c r="R25" s="105">
        <v>65.800979423723149</v>
      </c>
      <c r="S25" s="105">
        <v>68.395730613232985</v>
      </c>
      <c r="T25" s="105">
        <v>72.286185892538541</v>
      </c>
      <c r="U25" s="105">
        <v>67.237296623651218</v>
      </c>
      <c r="V25" s="105">
        <v>60.87338955279624</v>
      </c>
      <c r="W25" s="105">
        <v>59.977235082213809</v>
      </c>
      <c r="X25" s="105">
        <v>50.81201772684345</v>
      </c>
      <c r="Y25" s="105">
        <v>62.744763508746964</v>
      </c>
      <c r="Z25" s="105">
        <v>69.956342201897655</v>
      </c>
      <c r="AA25" s="105">
        <v>76.652274533736914</v>
      </c>
      <c r="AB25" s="105">
        <v>79.723840230160008</v>
      </c>
      <c r="AC25" s="105">
        <v>74.546669369544574</v>
      </c>
      <c r="AD25" s="105">
        <v>69.762004284972164</v>
      </c>
      <c r="AE25" s="105">
        <v>64.935627840274961</v>
      </c>
      <c r="AF25" s="106" t="s">
        <v>246</v>
      </c>
    </row>
    <row r="26" spans="2:32">
      <c r="B26" s="107" t="s">
        <v>446</v>
      </c>
      <c r="C26" s="102">
        <v>86.600704829791809</v>
      </c>
      <c r="D26" s="102">
        <v>91.042098640220985</v>
      </c>
      <c r="E26" s="103">
        <v>0.05</v>
      </c>
      <c r="F26" s="104" t="s">
        <v>135</v>
      </c>
      <c r="G26" s="104" t="s">
        <v>137</v>
      </c>
      <c r="H26" s="104" t="s">
        <v>134</v>
      </c>
      <c r="I26" s="105">
        <v>10</v>
      </c>
      <c r="J26" s="105">
        <v>1.4285714285714286</v>
      </c>
      <c r="K26" s="105">
        <v>58.60860618957085</v>
      </c>
      <c r="L26" s="105">
        <v>7</v>
      </c>
      <c r="M26" s="105">
        <v>63.050000000000011</v>
      </c>
      <c r="N26" s="105">
        <v>61.107380921736848</v>
      </c>
      <c r="O26" s="105">
        <v>65.548774732166009</v>
      </c>
      <c r="P26" s="105">
        <v>59.446624775572346</v>
      </c>
      <c r="Q26" s="105">
        <v>65.970220809538802</v>
      </c>
      <c r="R26" s="105">
        <v>73.177462444418907</v>
      </c>
      <c r="S26" s="105">
        <v>81.233194713566064</v>
      </c>
      <c r="T26" s="105">
        <v>83.529093062509475</v>
      </c>
      <c r="U26" s="105">
        <v>77.883249559873178</v>
      </c>
      <c r="V26" s="105">
        <v>70.005795485583661</v>
      </c>
      <c r="W26" s="105">
        <v>62.773467480996665</v>
      </c>
      <c r="X26" s="105">
        <v>60.855657628799953</v>
      </c>
      <c r="Y26" s="105">
        <v>70.36803356200079</v>
      </c>
      <c r="Z26" s="105">
        <v>76.351394028066494</v>
      </c>
      <c r="AA26" s="105">
        <v>85.272550387313018</v>
      </c>
      <c r="AB26" s="105">
        <v>88.444961994731258</v>
      </c>
      <c r="AC26" s="105">
        <v>80.705287544262276</v>
      </c>
      <c r="AD26" s="105">
        <v>74.139487117512601</v>
      </c>
      <c r="AE26" s="105">
        <v>67.761539176896406</v>
      </c>
      <c r="AF26" s="106" t="s">
        <v>246</v>
      </c>
    </row>
    <row r="27" spans="2:32">
      <c r="B27" s="107" t="s">
        <v>433</v>
      </c>
      <c r="C27" s="102">
        <v>81.757242257418994</v>
      </c>
      <c r="D27" s="102">
        <v>90.872098640220941</v>
      </c>
      <c r="E27" s="103">
        <v>0.05</v>
      </c>
      <c r="F27" s="104" t="s">
        <v>135</v>
      </c>
      <c r="G27" s="104" t="s">
        <v>136</v>
      </c>
      <c r="H27" s="104" t="s">
        <v>134</v>
      </c>
      <c r="I27" s="105">
        <v>10</v>
      </c>
      <c r="J27" s="105">
        <v>1.0555555555555556</v>
      </c>
      <c r="K27" s="105">
        <v>53.765143617198021</v>
      </c>
      <c r="L27" s="105">
        <v>9.5</v>
      </c>
      <c r="M27" s="105">
        <v>62.879999999999988</v>
      </c>
      <c r="N27" s="105">
        <v>56.263918349364019</v>
      </c>
      <c r="O27" s="105">
        <v>65.378774732165994</v>
      </c>
      <c r="P27" s="105">
        <v>49.522351970002518</v>
      </c>
      <c r="Q27" s="105">
        <v>61.494515671577005</v>
      </c>
      <c r="R27" s="105">
        <v>67.875611178657294</v>
      </c>
      <c r="S27" s="105">
        <v>74.735316667652555</v>
      </c>
      <c r="T27" s="105">
        <v>78.133585041083677</v>
      </c>
      <c r="U27" s="105">
        <v>75.291736787974571</v>
      </c>
      <c r="V27" s="105">
        <v>70.441239440378951</v>
      </c>
      <c r="W27" s="105">
        <v>64.03532523653287</v>
      </c>
      <c r="X27" s="105">
        <v>54.149469735801354</v>
      </c>
      <c r="Y27" s="105">
        <v>68.060382869095235</v>
      </c>
      <c r="Z27" s="105">
        <v>75.575837195311919</v>
      </c>
      <c r="AA27" s="105">
        <v>82.334381193709262</v>
      </c>
      <c r="AB27" s="105">
        <v>87.357433652592917</v>
      </c>
      <c r="AC27" s="105">
        <v>84.526614376754935</v>
      </c>
      <c r="AD27" s="105">
        <v>81.051042561870517</v>
      </c>
      <c r="AE27" s="105">
        <v>73.609574223782317</v>
      </c>
      <c r="AF27" s="106" t="s">
        <v>247</v>
      </c>
    </row>
    <row r="28" spans="2:32">
      <c r="B28" s="107" t="s">
        <v>447</v>
      </c>
      <c r="C28" s="102">
        <v>86.196330321061922</v>
      </c>
      <c r="D28" s="102">
        <v>90.572098640220958</v>
      </c>
      <c r="E28" s="103">
        <v>0.05</v>
      </c>
      <c r="F28" s="104" t="s">
        <v>135</v>
      </c>
      <c r="G28" s="104" t="s">
        <v>137</v>
      </c>
      <c r="H28" s="104" t="s">
        <v>134</v>
      </c>
      <c r="I28" s="105">
        <v>10</v>
      </c>
      <c r="J28" s="105">
        <v>1.4285714285714286</v>
      </c>
      <c r="K28" s="105">
        <v>58.204231680840948</v>
      </c>
      <c r="L28" s="105">
        <v>7</v>
      </c>
      <c r="M28" s="105">
        <v>62.58</v>
      </c>
      <c r="N28" s="105">
        <v>60.70300641300696</v>
      </c>
      <c r="O28" s="105">
        <v>65.078774732166011</v>
      </c>
      <c r="P28" s="105">
        <v>60.764487057628031</v>
      </c>
      <c r="Q28" s="105">
        <v>66.008913920126901</v>
      </c>
      <c r="R28" s="105">
        <v>71.483001648700338</v>
      </c>
      <c r="S28" s="105">
        <v>79.500079337828225</v>
      </c>
      <c r="T28" s="105">
        <v>83.209393602319238</v>
      </c>
      <c r="U28" s="105">
        <v>78.646554241762331</v>
      </c>
      <c r="V28" s="105">
        <v>73.416295070482093</v>
      </c>
      <c r="W28" s="105">
        <v>65.529657999608361</v>
      </c>
      <c r="X28" s="105">
        <v>64.001892646111159</v>
      </c>
      <c r="Y28" s="105">
        <v>69.21698549367585</v>
      </c>
      <c r="Z28" s="105">
        <v>74.549035975534707</v>
      </c>
      <c r="AA28" s="105">
        <v>82.760179515176958</v>
      </c>
      <c r="AB28" s="105">
        <v>88.01603822758139</v>
      </c>
      <c r="AC28" s="105">
        <v>82.819419307501349</v>
      </c>
      <c r="AD28" s="105">
        <v>78.625026259550353</v>
      </c>
      <c r="AE28" s="105">
        <v>70.037252021953691</v>
      </c>
      <c r="AF28" s="106" t="s">
        <v>247</v>
      </c>
    </row>
    <row r="29" spans="2:32">
      <c r="B29" s="107" t="s">
        <v>434</v>
      </c>
      <c r="C29" s="102">
        <v>78.210891905915759</v>
      </c>
      <c r="D29" s="102">
        <v>85.822546344823408</v>
      </c>
      <c r="E29" s="103">
        <v>0.05</v>
      </c>
      <c r="F29" s="104" t="s">
        <v>138</v>
      </c>
      <c r="G29" s="104" t="s">
        <v>136</v>
      </c>
      <c r="H29" s="104" t="s">
        <v>134</v>
      </c>
      <c r="I29" s="105">
        <v>10</v>
      </c>
      <c r="J29" s="105">
        <v>1.25</v>
      </c>
      <c r="K29" s="105">
        <v>50.218793265694785</v>
      </c>
      <c r="L29" s="105">
        <v>8</v>
      </c>
      <c r="M29" s="105">
        <v>57.830447704602449</v>
      </c>
      <c r="N29" s="105">
        <v>52.717567997860783</v>
      </c>
      <c r="O29" s="105">
        <v>60.329222436768447</v>
      </c>
      <c r="P29" s="105">
        <v>51.280674417286818</v>
      </c>
      <c r="Q29" s="105">
        <v>56.426051259227428</v>
      </c>
      <c r="R29" s="105">
        <v>64.884966450127877</v>
      </c>
      <c r="S29" s="105">
        <v>69.464374114909077</v>
      </c>
      <c r="T29" s="105">
        <v>74.887597657715062</v>
      </c>
      <c r="U29" s="105">
        <v>72.834851282682422</v>
      </c>
      <c r="V29" s="105">
        <v>63.561187918206308</v>
      </c>
      <c r="W29" s="105">
        <v>61.610836687231483</v>
      </c>
      <c r="X29" s="105">
        <v>54.031876901635641</v>
      </c>
      <c r="Y29" s="105">
        <v>61.867346911790513</v>
      </c>
      <c r="Z29" s="105">
        <v>69.722000786049136</v>
      </c>
      <c r="AA29" s="105">
        <v>76.474787886006865</v>
      </c>
      <c r="AB29" s="105">
        <v>82.008983877971716</v>
      </c>
      <c r="AC29" s="105">
        <v>80.347597730691575</v>
      </c>
      <c r="AD29" s="105">
        <v>72.031231130385578</v>
      </c>
      <c r="AE29" s="105">
        <v>68.599460181621751</v>
      </c>
      <c r="AF29" s="106" t="s">
        <v>262</v>
      </c>
    </row>
    <row r="30" spans="2:32">
      <c r="B30" s="107" t="s">
        <v>449</v>
      </c>
      <c r="C30" s="102">
        <v>87.652953775971696</v>
      </c>
      <c r="D30" s="102">
        <v>93.997098640220955</v>
      </c>
      <c r="E30" s="103">
        <v>0.05</v>
      </c>
      <c r="F30" s="104" t="s">
        <v>138</v>
      </c>
      <c r="G30" s="104" t="s">
        <v>137</v>
      </c>
      <c r="H30" s="104" t="s">
        <v>134</v>
      </c>
      <c r="I30" s="105">
        <v>10</v>
      </c>
      <c r="J30" s="105">
        <v>1.4285714285714286</v>
      </c>
      <c r="K30" s="105">
        <v>59.660855135750737</v>
      </c>
      <c r="L30" s="105">
        <v>7</v>
      </c>
      <c r="M30" s="105">
        <v>66.004999999999995</v>
      </c>
      <c r="N30" s="105">
        <v>62.159629867916735</v>
      </c>
      <c r="O30" s="105">
        <v>68.503774732165994</v>
      </c>
      <c r="P30" s="105">
        <v>59.264261343691928</v>
      </c>
      <c r="Q30" s="105">
        <v>61.809086414578125</v>
      </c>
      <c r="R30" s="105">
        <v>71.495255331020772</v>
      </c>
      <c r="S30" s="105">
        <v>78.838535891487439</v>
      </c>
      <c r="T30" s="105">
        <v>84.06838469965831</v>
      </c>
      <c r="U30" s="105">
        <v>83.099860103604669</v>
      </c>
      <c r="V30" s="105">
        <v>74.452731781831318</v>
      </c>
      <c r="W30" s="105">
        <v>63.566749152566373</v>
      </c>
      <c r="X30" s="105">
        <v>63.838431488837045</v>
      </c>
      <c r="Y30" s="105">
        <v>67.067526102274542</v>
      </c>
      <c r="Z30" s="105">
        <v>74.96840407994776</v>
      </c>
      <c r="AA30" s="105">
        <v>85.079703121527558</v>
      </c>
      <c r="AB30" s="105">
        <v>90.353214627318948</v>
      </c>
      <c r="AC30" s="105">
        <v>89.005283806182177</v>
      </c>
      <c r="AD30" s="105">
        <v>83.338781822701677</v>
      </c>
      <c r="AE30" s="105">
        <v>73.347032769900736</v>
      </c>
      <c r="AF30" s="106" t="s">
        <v>262</v>
      </c>
    </row>
    <row r="31" spans="2:32">
      <c r="B31" s="107" t="s">
        <v>435</v>
      </c>
      <c r="C31" s="102">
        <v>87.498560051267958</v>
      </c>
      <c r="D31" s="102">
        <v>93.437098640220967</v>
      </c>
      <c r="E31" s="103">
        <v>0.05</v>
      </c>
      <c r="F31" s="104" t="s">
        <v>138</v>
      </c>
      <c r="G31" s="104" t="s">
        <v>136</v>
      </c>
      <c r="H31" s="104" t="s">
        <v>134</v>
      </c>
      <c r="I31" s="105">
        <v>10</v>
      </c>
      <c r="J31" s="105">
        <v>1.0555555555555556</v>
      </c>
      <c r="K31" s="105">
        <v>59.506461411046985</v>
      </c>
      <c r="L31" s="105">
        <v>9.5</v>
      </c>
      <c r="M31" s="105">
        <v>65.444999999999993</v>
      </c>
      <c r="N31" s="105">
        <v>62.00523614321299</v>
      </c>
      <c r="O31" s="105">
        <v>67.943774732165991</v>
      </c>
      <c r="P31" s="105">
        <v>48.976426808868958</v>
      </c>
      <c r="Q31" s="105">
        <v>59.232406452676393</v>
      </c>
      <c r="R31" s="105">
        <v>68.072284475207155</v>
      </c>
      <c r="S31" s="105">
        <v>80.677033784449492</v>
      </c>
      <c r="T31" s="105">
        <v>83.199161430621743</v>
      </c>
      <c r="U31" s="105">
        <v>81.749532060331177</v>
      </c>
      <c r="V31" s="105">
        <v>78.220784174054955</v>
      </c>
      <c r="W31" s="105">
        <v>71.162535578877993</v>
      </c>
      <c r="X31" s="105">
        <v>51.586587374769337</v>
      </c>
      <c r="Y31" s="105">
        <v>61.623660360923445</v>
      </c>
      <c r="Z31" s="105">
        <v>75.167511123484189</v>
      </c>
      <c r="AA31" s="105">
        <v>85.857161764069758</v>
      </c>
      <c r="AB31" s="105">
        <v>89.418277893524461</v>
      </c>
      <c r="AC31" s="105">
        <v>86.623458277589577</v>
      </c>
      <c r="AD31" s="105">
        <v>85.645557591073754</v>
      </c>
      <c r="AE31" s="105">
        <v>78.055961576941314</v>
      </c>
      <c r="AF31" s="106" t="s">
        <v>263</v>
      </c>
    </row>
    <row r="32" spans="2:32">
      <c r="B32" s="107" t="s">
        <v>448</v>
      </c>
      <c r="C32" s="102">
        <v>92.599600528060492</v>
      </c>
      <c r="D32" s="102">
        <v>91.762098640220955</v>
      </c>
      <c r="E32" s="103">
        <v>0.05</v>
      </c>
      <c r="F32" s="104" t="s">
        <v>138</v>
      </c>
      <c r="G32" s="104" t="s">
        <v>137</v>
      </c>
      <c r="H32" s="104" t="s">
        <v>134</v>
      </c>
      <c r="I32" s="105">
        <v>10</v>
      </c>
      <c r="J32" s="105">
        <v>1.3392857142857144</v>
      </c>
      <c r="K32" s="105">
        <v>64.607501887839518</v>
      </c>
      <c r="L32" s="105">
        <v>7.5</v>
      </c>
      <c r="M32" s="105">
        <v>63.769999999999996</v>
      </c>
      <c r="N32" s="105">
        <v>67.106276620005531</v>
      </c>
      <c r="O32" s="105">
        <v>66.268774732165994</v>
      </c>
      <c r="P32" s="105">
        <v>64.177519031763111</v>
      </c>
      <c r="Q32" s="105">
        <v>68.361982833431853</v>
      </c>
      <c r="R32" s="105">
        <v>71.974261513861194</v>
      </c>
      <c r="S32" s="105">
        <v>84.666679702678891</v>
      </c>
      <c r="T32" s="105">
        <v>87.916094965575411</v>
      </c>
      <c r="U32" s="105">
        <v>87.727238266487376</v>
      </c>
      <c r="V32" s="105">
        <v>83.883991135890611</v>
      </c>
      <c r="W32" s="105">
        <v>76.574165506844977</v>
      </c>
      <c r="X32" s="105">
        <v>64.819886117317893</v>
      </c>
      <c r="Y32" s="105">
        <v>68.750890987051775</v>
      </c>
      <c r="Z32" s="105">
        <v>75.702217925080362</v>
      </c>
      <c r="AA32" s="105">
        <v>84.677533801020019</v>
      </c>
      <c r="AB32" s="105">
        <v>86.718493919352724</v>
      </c>
      <c r="AC32" s="105">
        <v>85.71238713094867</v>
      </c>
      <c r="AD32" s="105">
        <v>80.75898106538844</v>
      </c>
      <c r="AE32" s="105">
        <v>76.829943934548936</v>
      </c>
      <c r="AF32" s="106" t="s">
        <v>263</v>
      </c>
    </row>
    <row r="33" spans="2:32">
      <c r="B33" s="107" t="s">
        <v>468</v>
      </c>
      <c r="C33" s="102">
        <v>106.15740014403241</v>
      </c>
      <c r="D33" s="102">
        <v>112.07954189919298</v>
      </c>
      <c r="E33" s="103">
        <v>0.05</v>
      </c>
      <c r="F33" s="104" t="s">
        <v>261</v>
      </c>
      <c r="G33" s="104" t="s">
        <v>137</v>
      </c>
      <c r="H33" s="104" t="s">
        <v>140</v>
      </c>
      <c r="I33" s="105">
        <v>10</v>
      </c>
      <c r="J33" s="105">
        <v>1.3392857142857144</v>
      </c>
      <c r="K33" s="105">
        <v>78.175601460451247</v>
      </c>
      <c r="L33" s="105">
        <v>7.5</v>
      </c>
      <c r="M33" s="105">
        <v>84.097743215611828</v>
      </c>
      <c r="N33" s="105">
        <v>80.674376192617245</v>
      </c>
      <c r="O33" s="105">
        <v>86.596517947777826</v>
      </c>
      <c r="P33" s="105">
        <v>65.269590367121083</v>
      </c>
      <c r="Q33" s="105">
        <v>77.52518543531761</v>
      </c>
      <c r="R33" s="105">
        <v>83.200791258777741</v>
      </c>
      <c r="S33" s="105">
        <v>95.330393805048629</v>
      </c>
      <c r="T33" s="105">
        <v>98.939046501526747</v>
      </c>
      <c r="U33" s="105">
        <v>103.05718923778323</v>
      </c>
      <c r="V33" s="105">
        <v>99.631897835198018</v>
      </c>
      <c r="W33" s="105">
        <v>85.585637430375797</v>
      </c>
      <c r="X33" s="105">
        <v>68.963790592947589</v>
      </c>
      <c r="Y33" s="105">
        <v>82.649958118405806</v>
      </c>
      <c r="Z33" s="105">
        <v>87.960899794070443</v>
      </c>
      <c r="AA33" s="105">
        <v>100.50684196054891</v>
      </c>
      <c r="AB33" s="105">
        <v>105.57448132385377</v>
      </c>
      <c r="AC33" s="105">
        <v>108.99342525130514</v>
      </c>
      <c r="AD33" s="105">
        <v>104.96438979500003</v>
      </c>
      <c r="AE33" s="105">
        <v>91.592133320004564</v>
      </c>
      <c r="AF33" s="106" t="s">
        <v>260</v>
      </c>
    </row>
    <row r="34" spans="2:32">
      <c r="B34" s="107" t="s">
        <v>469</v>
      </c>
      <c r="C34" s="102">
        <v>94.566478783918697</v>
      </c>
      <c r="D34" s="102">
        <v>99.67624447343664</v>
      </c>
      <c r="E34" s="103">
        <v>0.05</v>
      </c>
      <c r="F34" s="104" t="s">
        <v>167</v>
      </c>
      <c r="G34" s="104" t="s">
        <v>136</v>
      </c>
      <c r="H34" s="104" t="s">
        <v>139</v>
      </c>
      <c r="I34" s="105">
        <v>10</v>
      </c>
      <c r="J34" s="105">
        <v>0.95454545454545459</v>
      </c>
      <c r="K34" s="105">
        <v>66.58468010033755</v>
      </c>
      <c r="L34" s="105">
        <v>10.5</v>
      </c>
      <c r="M34" s="105">
        <v>71.694445789855493</v>
      </c>
      <c r="N34" s="105">
        <v>69.083454832503563</v>
      </c>
      <c r="O34" s="105">
        <v>74.193220522021491</v>
      </c>
      <c r="P34" s="105">
        <v>64.763830216532739</v>
      </c>
      <c r="Q34" s="105">
        <v>74.79579991713689</v>
      </c>
      <c r="R34" s="105">
        <v>82.151235251550943</v>
      </c>
      <c r="S34" s="105">
        <v>85.10833221968133</v>
      </c>
      <c r="T34" s="105">
        <v>88.070718767624655</v>
      </c>
      <c r="U34" s="105">
        <v>87.915808576342897</v>
      </c>
      <c r="V34" s="105">
        <v>89.733274704331976</v>
      </c>
      <c r="W34" s="105">
        <v>81.454428681161048</v>
      </c>
      <c r="X34" s="105">
        <v>68.394010415900055</v>
      </c>
      <c r="Y34" s="105">
        <v>79.858625571032377</v>
      </c>
      <c r="Z34" s="105">
        <v>86.574702941586139</v>
      </c>
      <c r="AA34" s="105">
        <v>89.881402577704975</v>
      </c>
      <c r="AB34" s="105">
        <v>92.565583623182931</v>
      </c>
      <c r="AC34" s="105">
        <v>93.366314315292954</v>
      </c>
      <c r="AD34" s="105">
        <v>95.114461667231154</v>
      </c>
      <c r="AE34" s="105">
        <v>86.732407017456978</v>
      </c>
      <c r="AF34" s="106" t="s">
        <v>116</v>
      </c>
    </row>
    <row r="35" spans="2:32">
      <c r="B35" s="107" t="s">
        <v>470</v>
      </c>
      <c r="C35" s="102">
        <v>97.926640669512039</v>
      </c>
      <c r="D35" s="102">
        <v>103.4971797025991</v>
      </c>
      <c r="E35" s="103">
        <v>0.05</v>
      </c>
      <c r="F35" s="104" t="s">
        <v>167</v>
      </c>
      <c r="G35" s="104" t="s">
        <v>137</v>
      </c>
      <c r="H35" s="104" t="s">
        <v>140</v>
      </c>
      <c r="I35" s="105">
        <v>10</v>
      </c>
      <c r="J35" s="105">
        <v>1.25</v>
      </c>
      <c r="K35" s="105">
        <v>69.944841985930893</v>
      </c>
      <c r="L35" s="105">
        <v>8</v>
      </c>
      <c r="M35" s="105">
        <v>75.515381019017951</v>
      </c>
      <c r="N35" s="105">
        <v>72.443616718096905</v>
      </c>
      <c r="O35" s="105">
        <v>78.014155751183949</v>
      </c>
      <c r="P35" s="105">
        <v>67.994586760003756</v>
      </c>
      <c r="Q35" s="105">
        <v>76.514149373102214</v>
      </c>
      <c r="R35" s="105">
        <v>86.149233855633554</v>
      </c>
      <c r="S35" s="105">
        <v>89.420398037317426</v>
      </c>
      <c r="T35" s="105">
        <v>92.321329498437507</v>
      </c>
      <c r="U35" s="105">
        <v>91.670107629042946</v>
      </c>
      <c r="V35" s="105">
        <v>91.671450570306448</v>
      </c>
      <c r="W35" s="105">
        <v>83.438035669272338</v>
      </c>
      <c r="X35" s="105">
        <v>72.571764732242769</v>
      </c>
      <c r="Y35" s="105">
        <v>80.990593370663362</v>
      </c>
      <c r="Z35" s="105">
        <v>91.571026195414248</v>
      </c>
      <c r="AA35" s="105">
        <v>96.145796077778357</v>
      </c>
      <c r="AB35" s="105">
        <v>97.364986530026641</v>
      </c>
      <c r="AC35" s="105">
        <v>96.291182562840646</v>
      </c>
      <c r="AD35" s="105">
        <v>97.14093597725207</v>
      </c>
      <c r="AE35" s="105">
        <v>88.39836234844006</v>
      </c>
      <c r="AF35" s="106" t="s">
        <v>117</v>
      </c>
    </row>
    <row r="36" spans="2:32">
      <c r="B36" s="107" t="s">
        <v>471</v>
      </c>
      <c r="C36" s="102">
        <v>102.53093047203153</v>
      </c>
      <c r="D36" s="102">
        <v>106.74069136518384</v>
      </c>
      <c r="E36" s="103">
        <v>0.05</v>
      </c>
      <c r="F36" s="104" t="s">
        <v>167</v>
      </c>
      <c r="G36" s="104" t="s">
        <v>136</v>
      </c>
      <c r="H36" s="104" t="s">
        <v>139</v>
      </c>
      <c r="I36" s="105">
        <v>10</v>
      </c>
      <c r="J36" s="105">
        <v>1.4583333333333335</v>
      </c>
      <c r="K36" s="105">
        <v>74.549131788450381</v>
      </c>
      <c r="L36" s="105">
        <v>7</v>
      </c>
      <c r="M36" s="105">
        <v>78.758892681602674</v>
      </c>
      <c r="N36" s="105">
        <v>77.047906520616394</v>
      </c>
      <c r="O36" s="105">
        <v>81.257667413768672</v>
      </c>
      <c r="P36" s="105">
        <v>65.515265459356428</v>
      </c>
      <c r="Q36" s="105">
        <v>73.427568420296595</v>
      </c>
      <c r="R36" s="105">
        <v>86.457628606133881</v>
      </c>
      <c r="S36" s="105">
        <v>88.166885937203119</v>
      </c>
      <c r="T36" s="105">
        <v>94.900954431085424</v>
      </c>
      <c r="U36" s="105">
        <v>98.650533874500042</v>
      </c>
      <c r="V36" s="105">
        <v>97.454067316382762</v>
      </c>
      <c r="W36" s="105">
        <v>89.041331507966561</v>
      </c>
      <c r="X36" s="105">
        <v>69.578345024812222</v>
      </c>
      <c r="Y36" s="105">
        <v>76.296478692638345</v>
      </c>
      <c r="Z36" s="105">
        <v>92.481604445354833</v>
      </c>
      <c r="AA36" s="105">
        <v>92.26981809465758</v>
      </c>
      <c r="AB36" s="105">
        <v>99.180044191049888</v>
      </c>
      <c r="AC36" s="105">
        <v>102.8678101059988</v>
      </c>
      <c r="AD36" s="105">
        <v>101.36246380180634</v>
      </c>
      <c r="AE36" s="105">
        <v>93.409051199911119</v>
      </c>
      <c r="AF36" s="106" t="s">
        <v>118</v>
      </c>
    </row>
    <row r="37" spans="2:32">
      <c r="B37" s="107" t="s">
        <v>472</v>
      </c>
      <c r="C37" s="102">
        <v>99.190408402587394</v>
      </c>
      <c r="D37" s="102">
        <v>103.52227815787751</v>
      </c>
      <c r="E37" s="103">
        <v>0.05</v>
      </c>
      <c r="F37" s="104" t="s">
        <v>167</v>
      </c>
      <c r="G37" s="104" t="s">
        <v>136</v>
      </c>
      <c r="H37" s="104" t="s">
        <v>139</v>
      </c>
      <c r="I37" s="105">
        <v>10</v>
      </c>
      <c r="J37" s="105">
        <v>1.25</v>
      </c>
      <c r="K37" s="105">
        <v>71.208609719006247</v>
      </c>
      <c r="L37" s="105">
        <v>8</v>
      </c>
      <c r="M37" s="105">
        <v>75.540479474296362</v>
      </c>
      <c r="N37" s="105">
        <v>73.707384451172246</v>
      </c>
      <c r="O37" s="105">
        <v>78.03925420646236</v>
      </c>
      <c r="P37" s="105">
        <v>64.66720584456931</v>
      </c>
      <c r="Q37" s="105">
        <v>64.426082124512675</v>
      </c>
      <c r="R37" s="105">
        <v>83.847825632339251</v>
      </c>
      <c r="S37" s="105">
        <v>85.038475315981614</v>
      </c>
      <c r="T37" s="105">
        <v>91.188600811657381</v>
      </c>
      <c r="U37" s="105">
        <v>94.712393278785612</v>
      </c>
      <c r="V37" s="105">
        <v>94.813046547039704</v>
      </c>
      <c r="W37" s="105">
        <v>86.31976424179183</v>
      </c>
      <c r="X37" s="105">
        <v>69.717788893189649</v>
      </c>
      <c r="Y37" s="105">
        <v>67.751371176600287</v>
      </c>
      <c r="Z37" s="105">
        <v>88.593344637705997</v>
      </c>
      <c r="AA37" s="105">
        <v>89.299071580109157</v>
      </c>
      <c r="AB37" s="105">
        <v>95.319417003855747</v>
      </c>
      <c r="AC37" s="105">
        <v>99.190091557249346</v>
      </c>
      <c r="AD37" s="105">
        <v>99.080506311434434</v>
      </c>
      <c r="AE37" s="105">
        <v>90.486456610120058</v>
      </c>
      <c r="AF37" s="106" t="s">
        <v>119</v>
      </c>
    </row>
    <row r="38" spans="2:32">
      <c r="B38" s="107" t="s">
        <v>473</v>
      </c>
      <c r="C38" s="102">
        <v>102.58724195349167</v>
      </c>
      <c r="D38" s="102">
        <v>107.59596658994676</v>
      </c>
      <c r="E38" s="103">
        <v>0.05</v>
      </c>
      <c r="F38" s="104" t="s">
        <v>167</v>
      </c>
      <c r="G38" s="104" t="s">
        <v>137</v>
      </c>
      <c r="H38" s="104" t="s">
        <v>140</v>
      </c>
      <c r="I38" s="105">
        <v>10</v>
      </c>
      <c r="J38" s="105">
        <v>1.0101010101010102</v>
      </c>
      <c r="K38" s="105">
        <v>74.605443269910523</v>
      </c>
      <c r="L38" s="105">
        <v>10</v>
      </c>
      <c r="M38" s="105">
        <v>79.614167906365594</v>
      </c>
      <c r="N38" s="105">
        <v>77.104218002076536</v>
      </c>
      <c r="O38" s="105">
        <v>82.112942638531592</v>
      </c>
      <c r="P38" s="105">
        <v>66.142415015335359</v>
      </c>
      <c r="Q38" s="105">
        <v>69.831364782286613</v>
      </c>
      <c r="R38" s="105">
        <v>83.306424099380962</v>
      </c>
      <c r="S38" s="105">
        <v>88.685886467422449</v>
      </c>
      <c r="T38" s="105">
        <v>95.377589290836525</v>
      </c>
      <c r="U38" s="105">
        <v>98.608968031456484</v>
      </c>
      <c r="V38" s="105">
        <v>97.565201345287988</v>
      </c>
      <c r="W38" s="105">
        <v>88.805552351940548</v>
      </c>
      <c r="X38" s="105">
        <v>69.564105626451109</v>
      </c>
      <c r="Y38" s="105">
        <v>74.759905320825766</v>
      </c>
      <c r="Z38" s="105">
        <v>88.431217874831432</v>
      </c>
      <c r="AA38" s="105">
        <v>93.767273507645001</v>
      </c>
      <c r="AB38" s="105">
        <v>100.44751993676103</v>
      </c>
      <c r="AC38" s="105">
        <v>103.94261440485725</v>
      </c>
      <c r="AD38" s="105">
        <v>101.97345323489077</v>
      </c>
      <c r="AE38" s="105">
        <v>94.242749594172196</v>
      </c>
      <c r="AF38" s="106" t="s">
        <v>120</v>
      </c>
    </row>
    <row r="39" spans="2:32">
      <c r="B39" s="107" t="s">
        <v>436</v>
      </c>
      <c r="C39" s="102">
        <v>71.532936193867386</v>
      </c>
      <c r="D39" s="102">
        <v>79.462098640220958</v>
      </c>
      <c r="E39" s="103">
        <v>0.05</v>
      </c>
      <c r="F39" s="104" t="s">
        <v>164</v>
      </c>
      <c r="G39" s="104" t="s">
        <v>136</v>
      </c>
      <c r="H39" s="104" t="s">
        <v>134</v>
      </c>
      <c r="I39" s="105">
        <v>10</v>
      </c>
      <c r="J39" s="105">
        <v>1.1805555555555556</v>
      </c>
      <c r="K39" s="105">
        <v>43.540837553646419</v>
      </c>
      <c r="L39" s="105">
        <v>8.5</v>
      </c>
      <c r="M39" s="105">
        <v>51.47</v>
      </c>
      <c r="N39" s="105">
        <v>46.039612285812417</v>
      </c>
      <c r="O39" s="105">
        <v>53.968774732165997</v>
      </c>
      <c r="P39" s="105">
        <v>50.324408586867406</v>
      </c>
      <c r="Q39" s="105">
        <v>55.98837736820937</v>
      </c>
      <c r="R39" s="105">
        <v>62.580375704896767</v>
      </c>
      <c r="S39" s="105">
        <v>62.697442961311232</v>
      </c>
      <c r="T39" s="105">
        <v>66.553717530204082</v>
      </c>
      <c r="U39" s="105">
        <v>66.344122523680909</v>
      </c>
      <c r="V39" s="105">
        <v>57.897468502823173</v>
      </c>
      <c r="W39" s="105">
        <v>57.836183937118911</v>
      </c>
      <c r="X39" s="105">
        <v>53.166450068545629</v>
      </c>
      <c r="Y39" s="105">
        <v>59.118838351601461</v>
      </c>
      <c r="Z39" s="105">
        <v>65.64895992553771</v>
      </c>
      <c r="AA39" s="105">
        <v>66.903645863847458</v>
      </c>
      <c r="AB39" s="105">
        <v>74.541043667381587</v>
      </c>
      <c r="AC39" s="105">
        <v>75.28876885530218</v>
      </c>
      <c r="AD39" s="105">
        <v>64.262889389287437</v>
      </c>
      <c r="AE39" s="105">
        <v>61.177003353025547</v>
      </c>
      <c r="AF39" s="106" t="s">
        <v>248</v>
      </c>
    </row>
    <row r="40" spans="2:32">
      <c r="B40" s="107" t="s">
        <v>450</v>
      </c>
      <c r="C40" s="102">
        <v>83.900252094539027</v>
      </c>
      <c r="D40" s="102">
        <v>88.684952343385476</v>
      </c>
      <c r="E40" s="103">
        <v>0.05</v>
      </c>
      <c r="F40" s="104" t="s">
        <v>164</v>
      </c>
      <c r="G40" s="104" t="s">
        <v>137</v>
      </c>
      <c r="H40" s="104" t="s">
        <v>134</v>
      </c>
      <c r="I40" s="105">
        <v>11</v>
      </c>
      <c r="J40" s="105">
        <v>1.2698412698412698</v>
      </c>
      <c r="K40" s="105">
        <v>55.080299751153568</v>
      </c>
      <c r="L40" s="105">
        <v>8</v>
      </c>
      <c r="M40" s="105">
        <v>59.865000000000009</v>
      </c>
      <c r="N40" s="105">
        <v>58.406928186484066</v>
      </c>
      <c r="O40" s="105">
        <v>63.191628435330507</v>
      </c>
      <c r="P40" s="105">
        <v>59.293595063043519</v>
      </c>
      <c r="Q40" s="105">
        <v>65.865906046695429</v>
      </c>
      <c r="R40" s="105">
        <v>71.355113026190907</v>
      </c>
      <c r="S40" s="105">
        <v>77.457145011405771</v>
      </c>
      <c r="T40" s="105">
        <v>81.018351241867649</v>
      </c>
      <c r="U40" s="105">
        <v>75.813083849839472</v>
      </c>
      <c r="V40" s="105">
        <v>67.220515345685399</v>
      </c>
      <c r="W40" s="105">
        <v>62.038915718353635</v>
      </c>
      <c r="X40" s="105">
        <v>62.480480628747486</v>
      </c>
      <c r="Y40" s="105">
        <v>69.200328141298911</v>
      </c>
      <c r="Z40" s="105">
        <v>75.556830704733002</v>
      </c>
      <c r="AA40" s="105">
        <v>82.182278556204807</v>
      </c>
      <c r="AB40" s="105">
        <v>86.157231498380142</v>
      </c>
      <c r="AC40" s="105">
        <v>79.843613246877567</v>
      </c>
      <c r="AD40" s="105">
        <v>70.361760943500428</v>
      </c>
      <c r="AE40" s="105">
        <v>66.320880260255052</v>
      </c>
      <c r="AF40" s="106" t="s">
        <v>248</v>
      </c>
    </row>
    <row r="41" spans="2:32">
      <c r="B41" s="107" t="s">
        <v>437</v>
      </c>
      <c r="C41" s="102">
        <v>70.895918805653338</v>
      </c>
      <c r="D41" s="102">
        <v>76.282098640220966</v>
      </c>
      <c r="E41" s="103">
        <v>0.05</v>
      </c>
      <c r="F41" s="104" t="s">
        <v>164</v>
      </c>
      <c r="G41" s="104" t="s">
        <v>136</v>
      </c>
      <c r="H41" s="104" t="s">
        <v>134</v>
      </c>
      <c r="I41" s="105">
        <v>10</v>
      </c>
      <c r="J41" s="105">
        <v>1.2142857142857144</v>
      </c>
      <c r="K41" s="105">
        <v>42.903820165432371</v>
      </c>
      <c r="L41" s="105">
        <v>8.5</v>
      </c>
      <c r="M41" s="105">
        <v>48.29</v>
      </c>
      <c r="N41" s="105">
        <v>45.40259489759837</v>
      </c>
      <c r="O41" s="105">
        <v>50.788774732165997</v>
      </c>
      <c r="P41" s="105">
        <v>47.316042664848069</v>
      </c>
      <c r="Q41" s="105">
        <v>55.513342524454181</v>
      </c>
      <c r="R41" s="105">
        <v>60.408317258984411</v>
      </c>
      <c r="S41" s="105">
        <v>64.572216633125407</v>
      </c>
      <c r="T41" s="105">
        <v>66.685129975586776</v>
      </c>
      <c r="U41" s="105">
        <v>63.020260884574775</v>
      </c>
      <c r="V41" s="105">
        <v>59.008518153370495</v>
      </c>
      <c r="W41" s="105">
        <v>56.58260069700367</v>
      </c>
      <c r="X41" s="105">
        <v>49.826786133466172</v>
      </c>
      <c r="Y41" s="105">
        <v>59.123977491887018</v>
      </c>
      <c r="Z41" s="105">
        <v>63.560477272640192</v>
      </c>
      <c r="AA41" s="105">
        <v>69.054315001756038</v>
      </c>
      <c r="AB41" s="105">
        <v>72.727927082862266</v>
      </c>
      <c r="AC41" s="105">
        <v>68.983260585887052</v>
      </c>
      <c r="AD41" s="105">
        <v>63.276379652234034</v>
      </c>
      <c r="AE41" s="105">
        <v>61.148626368470026</v>
      </c>
      <c r="AF41" s="106" t="s">
        <v>249</v>
      </c>
    </row>
    <row r="42" spans="2:32">
      <c r="B42" s="107" t="s">
        <v>451</v>
      </c>
      <c r="C42" s="102">
        <v>82.673675141412048</v>
      </c>
      <c r="D42" s="102">
        <v>88.319952343385467</v>
      </c>
      <c r="E42" s="103">
        <v>0.05</v>
      </c>
      <c r="F42" s="104" t="s">
        <v>164</v>
      </c>
      <c r="G42" s="104" t="s">
        <v>137</v>
      </c>
      <c r="H42" s="104" t="s">
        <v>134</v>
      </c>
      <c r="I42" s="105">
        <v>11</v>
      </c>
      <c r="J42" s="105">
        <v>1.3392857142857144</v>
      </c>
      <c r="K42" s="105">
        <v>53.85372279802656</v>
      </c>
      <c r="L42" s="105">
        <v>7.5</v>
      </c>
      <c r="M42" s="105">
        <v>59.5</v>
      </c>
      <c r="N42" s="105">
        <v>57.180351233357058</v>
      </c>
      <c r="O42" s="105">
        <v>62.826628435330505</v>
      </c>
      <c r="P42" s="105">
        <v>65.000447617829494</v>
      </c>
      <c r="Q42" s="105">
        <v>71.205419697651863</v>
      </c>
      <c r="R42" s="105">
        <v>72.899228388986543</v>
      </c>
      <c r="S42" s="105">
        <v>74.755461482742845</v>
      </c>
      <c r="T42" s="105">
        <v>78.377725989030182</v>
      </c>
      <c r="U42" s="105">
        <v>75.718917616677942</v>
      </c>
      <c r="V42" s="105">
        <v>70.268054642205144</v>
      </c>
      <c r="W42" s="105">
        <v>64.071958742782286</v>
      </c>
      <c r="X42" s="105">
        <v>65.752502845943724</v>
      </c>
      <c r="Y42" s="105">
        <v>74.13625327822345</v>
      </c>
      <c r="Z42" s="105">
        <v>76.009827137210351</v>
      </c>
      <c r="AA42" s="105">
        <v>79.651087915760712</v>
      </c>
      <c r="AB42" s="105">
        <v>83.964960513828487</v>
      </c>
      <c r="AC42" s="105">
        <v>81.962870537815974</v>
      </c>
      <c r="AD42" s="105">
        <v>77.223425254395167</v>
      </c>
      <c r="AE42" s="105">
        <v>71.995683944324327</v>
      </c>
      <c r="AF42" s="106" t="s">
        <v>249</v>
      </c>
    </row>
    <row r="43" spans="2:32">
      <c r="B43" s="107" t="s">
        <v>438</v>
      </c>
      <c r="C43" s="102">
        <v>71.463526988686695</v>
      </c>
      <c r="D43" s="102">
        <v>74.367098640220973</v>
      </c>
      <c r="E43" s="103">
        <v>0.05</v>
      </c>
      <c r="F43" s="104" t="s">
        <v>165</v>
      </c>
      <c r="G43" s="104" t="s">
        <v>136</v>
      </c>
      <c r="H43" s="104" t="s">
        <v>134</v>
      </c>
      <c r="I43" s="105">
        <v>10</v>
      </c>
      <c r="J43" s="105">
        <v>1.5476190476190477</v>
      </c>
      <c r="K43" s="105">
        <v>43.471428348465722</v>
      </c>
      <c r="L43" s="105">
        <v>6.5</v>
      </c>
      <c r="M43" s="105">
        <v>46.375</v>
      </c>
      <c r="N43" s="105">
        <v>45.97020308063172</v>
      </c>
      <c r="O43" s="105">
        <v>48.873774732165998</v>
      </c>
      <c r="P43" s="105">
        <v>49.270856778423749</v>
      </c>
      <c r="Q43" s="105">
        <v>57.071756277997416</v>
      </c>
      <c r="R43" s="105">
        <v>62.903814273533214</v>
      </c>
      <c r="S43" s="105">
        <v>65.184389519483034</v>
      </c>
      <c r="T43" s="105">
        <v>66.035982903337441</v>
      </c>
      <c r="U43" s="105">
        <v>64.473462443750961</v>
      </c>
      <c r="V43" s="105">
        <v>58.835829238706353</v>
      </c>
      <c r="W43" s="105">
        <v>57.648526917330514</v>
      </c>
      <c r="X43" s="105">
        <v>50.484516656991033</v>
      </c>
      <c r="Y43" s="105">
        <v>59.223449140134846</v>
      </c>
      <c r="Z43" s="105">
        <v>64.346745910997427</v>
      </c>
      <c r="AA43" s="105">
        <v>66.196054459956983</v>
      </c>
      <c r="AB43" s="105">
        <v>66.712833846658398</v>
      </c>
      <c r="AC43" s="105">
        <v>69.927394640576921</v>
      </c>
      <c r="AD43" s="105">
        <v>63.011081694160936</v>
      </c>
      <c r="AE43" s="105">
        <v>61.044264041662124</v>
      </c>
      <c r="AF43" s="106" t="s">
        <v>250</v>
      </c>
    </row>
    <row r="44" spans="2:32">
      <c r="B44" s="107" t="s">
        <v>452</v>
      </c>
      <c r="C44" s="102">
        <v>78.761404509925384</v>
      </c>
      <c r="D44" s="102">
        <v>82.287098640220975</v>
      </c>
      <c r="E44" s="103">
        <v>0.05</v>
      </c>
      <c r="F44" s="104" t="s">
        <v>165</v>
      </c>
      <c r="G44" s="104" t="s">
        <v>137</v>
      </c>
      <c r="H44" s="104" t="s">
        <v>134</v>
      </c>
      <c r="I44" s="105">
        <v>10</v>
      </c>
      <c r="J44" s="105">
        <v>1.4583333333333335</v>
      </c>
      <c r="K44" s="105">
        <v>50.769305869704411</v>
      </c>
      <c r="L44" s="105">
        <v>7</v>
      </c>
      <c r="M44" s="105">
        <v>54.295000000000016</v>
      </c>
      <c r="N44" s="105">
        <v>53.268080601870409</v>
      </c>
      <c r="O44" s="105">
        <v>56.793774732166014</v>
      </c>
      <c r="P44" s="105">
        <v>58.744451484955029</v>
      </c>
      <c r="Q44" s="105">
        <v>60.745010104688426</v>
      </c>
      <c r="R44" s="105">
        <v>67.868785779904087</v>
      </c>
      <c r="S44" s="105">
        <v>72.714149009178229</v>
      </c>
      <c r="T44" s="105">
        <v>75.427108511453099</v>
      </c>
      <c r="U44" s="105">
        <v>70.713252721013774</v>
      </c>
      <c r="V44" s="105">
        <v>61.721434760816777</v>
      </c>
      <c r="W44" s="105">
        <v>54.548376898925852</v>
      </c>
      <c r="X44" s="105">
        <v>62.803132232405495</v>
      </c>
      <c r="Y44" s="105">
        <v>64.011758977076028</v>
      </c>
      <c r="Z44" s="105">
        <v>71.075108403254291</v>
      </c>
      <c r="AA44" s="105">
        <v>76.313322438352088</v>
      </c>
      <c r="AB44" s="105">
        <v>78.945435472576619</v>
      </c>
      <c r="AC44" s="105">
        <v>73.888829730566897</v>
      </c>
      <c r="AD44" s="105">
        <v>65.942428893778228</v>
      </c>
      <c r="AE44" s="105">
        <v>59.306258237358854</v>
      </c>
      <c r="AF44" s="106" t="s">
        <v>250</v>
      </c>
    </row>
    <row r="45" spans="2:32">
      <c r="B45" s="107" t="s">
        <v>439</v>
      </c>
      <c r="C45" s="102">
        <v>71.466180325895195</v>
      </c>
      <c r="D45" s="102">
        <v>80.777098640220942</v>
      </c>
      <c r="E45" s="103">
        <v>0.05</v>
      </c>
      <c r="F45" s="104" t="s">
        <v>165</v>
      </c>
      <c r="G45" s="104" t="s">
        <v>136</v>
      </c>
      <c r="H45" s="104" t="s">
        <v>134</v>
      </c>
      <c r="I45" s="105">
        <v>10</v>
      </c>
      <c r="J45" s="105">
        <v>1.7142857142857144</v>
      </c>
      <c r="K45" s="105">
        <v>43.474081685674236</v>
      </c>
      <c r="L45" s="105">
        <v>6</v>
      </c>
      <c r="M45" s="105">
        <v>52.784999999999982</v>
      </c>
      <c r="N45" s="105">
        <v>45.972856417840234</v>
      </c>
      <c r="O45" s="105">
        <v>55.28377473216598</v>
      </c>
      <c r="P45" s="105">
        <v>47.074867815010762</v>
      </c>
      <c r="Q45" s="105">
        <v>51.319999027401153</v>
      </c>
      <c r="R45" s="105">
        <v>58.155400133290236</v>
      </c>
      <c r="S45" s="105">
        <v>66.713750862173228</v>
      </c>
      <c r="T45" s="105">
        <v>66.759248010382564</v>
      </c>
      <c r="U45" s="105">
        <v>64.340235805217503</v>
      </c>
      <c r="V45" s="105">
        <v>59.332865106999016</v>
      </c>
      <c r="W45" s="105">
        <v>52.237002649876729</v>
      </c>
      <c r="X45" s="105">
        <v>50.325619493931804</v>
      </c>
      <c r="Y45" s="105">
        <v>56.01550388474957</v>
      </c>
      <c r="Z45" s="105">
        <v>63.367993890491071</v>
      </c>
      <c r="AA45" s="105">
        <v>75.939565342591578</v>
      </c>
      <c r="AB45" s="105">
        <v>76.102320133194297</v>
      </c>
      <c r="AC45" s="105">
        <v>73.521009822346656</v>
      </c>
      <c r="AD45" s="105">
        <v>70.70711100374848</v>
      </c>
      <c r="AE45" s="105">
        <v>62.868458836997775</v>
      </c>
      <c r="AF45" s="106" t="s">
        <v>251</v>
      </c>
    </row>
    <row r="46" spans="2:32">
      <c r="B46" s="107" t="s">
        <v>453</v>
      </c>
      <c r="C46" s="102">
        <v>82.194299413468798</v>
      </c>
      <c r="D46" s="102">
        <v>89.067098640220948</v>
      </c>
      <c r="E46" s="103">
        <v>0.05</v>
      </c>
      <c r="F46" s="104" t="s">
        <v>165</v>
      </c>
      <c r="G46" s="104" t="s">
        <v>137</v>
      </c>
      <c r="H46" s="104" t="s">
        <v>134</v>
      </c>
      <c r="I46" s="105">
        <v>10</v>
      </c>
      <c r="J46" s="105">
        <v>1.3888888888888888</v>
      </c>
      <c r="K46" s="105">
        <v>54.202200773247824</v>
      </c>
      <c r="L46" s="105">
        <v>7.5</v>
      </c>
      <c r="M46" s="105">
        <v>61.074999999999989</v>
      </c>
      <c r="N46" s="105">
        <v>56.700975505413822</v>
      </c>
      <c r="O46" s="105">
        <v>63.573774732165987</v>
      </c>
      <c r="P46" s="105">
        <v>63.672128734450013</v>
      </c>
      <c r="Q46" s="105">
        <v>64.817976999608362</v>
      </c>
      <c r="R46" s="105">
        <v>67.243024097490476</v>
      </c>
      <c r="S46" s="105">
        <v>76.219497658546572</v>
      </c>
      <c r="T46" s="105">
        <v>77.075182462408364</v>
      </c>
      <c r="U46" s="105">
        <v>75.874651850603428</v>
      </c>
      <c r="V46" s="105">
        <v>73.099958650717312</v>
      </c>
      <c r="W46" s="105">
        <v>64.934936557808797</v>
      </c>
      <c r="X46" s="105">
        <v>66.125083361729054</v>
      </c>
      <c r="Y46" s="105">
        <v>72.414504305722446</v>
      </c>
      <c r="Z46" s="105">
        <v>70.964049624693459</v>
      </c>
      <c r="AA46" s="105">
        <v>82.087457642660496</v>
      </c>
      <c r="AB46" s="105">
        <v>83.724620111659789</v>
      </c>
      <c r="AC46" s="105">
        <v>82.197448847623093</v>
      </c>
      <c r="AD46" s="105">
        <v>82.062196800727577</v>
      </c>
      <c r="AE46" s="105">
        <v>74.271396467612192</v>
      </c>
      <c r="AF46" s="106" t="s">
        <v>251</v>
      </c>
    </row>
    <row r="47" spans="2:32">
      <c r="B47" s="107" t="s">
        <v>525</v>
      </c>
      <c r="C47" s="102">
        <v>82</v>
      </c>
      <c r="D47" s="102">
        <v>105.8</v>
      </c>
      <c r="E47" s="103">
        <v>0.25</v>
      </c>
      <c r="F47" s="104" t="s">
        <v>177</v>
      </c>
      <c r="G47" s="104" t="s">
        <v>172</v>
      </c>
      <c r="H47" s="104" t="s">
        <v>175</v>
      </c>
      <c r="I47" s="105">
        <v>15</v>
      </c>
      <c r="J47" s="105" t="s">
        <v>185</v>
      </c>
      <c r="K47" s="105" t="s">
        <v>185</v>
      </c>
      <c r="L47" s="105">
        <v>47</v>
      </c>
      <c r="M47" s="105"/>
      <c r="N47" s="105">
        <f>ROUND(C47,1)</f>
        <v>82</v>
      </c>
      <c r="O47" s="105">
        <f>ROUND(D47,1)</f>
        <v>105.8</v>
      </c>
      <c r="P47" s="105">
        <v>56.500420703004394</v>
      </c>
      <c r="Q47" s="105">
        <v>64.038044616153343</v>
      </c>
      <c r="R47" s="105">
        <v>70.956507254879313</v>
      </c>
      <c r="S47" s="105">
        <v>77.03884094887411</v>
      </c>
      <c r="T47" s="105">
        <v>77.293458008136326</v>
      </c>
      <c r="U47" s="105">
        <v>75.055089690672247</v>
      </c>
      <c r="V47" s="105">
        <v>67.333881182473988</v>
      </c>
      <c r="W47" s="105">
        <v>59.397149026828671</v>
      </c>
      <c r="X47" s="105"/>
      <c r="Y47" s="105"/>
      <c r="Z47" s="105"/>
      <c r="AA47" s="105"/>
      <c r="AB47" s="105"/>
      <c r="AC47" s="105"/>
      <c r="AD47" s="105"/>
      <c r="AE47" s="105"/>
      <c r="AF47" s="106" t="s">
        <v>258</v>
      </c>
    </row>
    <row r="48" spans="2:32">
      <c r="B48" s="107" t="s">
        <v>504</v>
      </c>
      <c r="C48" s="102">
        <v>73.3</v>
      </c>
      <c r="D48" s="102">
        <v>108.8</v>
      </c>
      <c r="E48" s="103">
        <v>0.25</v>
      </c>
      <c r="F48" s="104" t="s">
        <v>177</v>
      </c>
      <c r="G48" s="104" t="s">
        <v>172</v>
      </c>
      <c r="H48" s="104" t="s">
        <v>174</v>
      </c>
      <c r="I48" s="105">
        <v>15</v>
      </c>
      <c r="J48" s="105" t="s">
        <v>185</v>
      </c>
      <c r="K48" s="105" t="s">
        <v>185</v>
      </c>
      <c r="L48" s="105">
        <v>89</v>
      </c>
      <c r="M48" s="105"/>
      <c r="N48" s="105">
        <f>ROUND(C48,1)</f>
        <v>73.3</v>
      </c>
      <c r="O48" s="105">
        <f>ROUND(D48,1)</f>
        <v>108.8</v>
      </c>
      <c r="P48" s="105">
        <v>53.778285772998046</v>
      </c>
      <c r="Q48" s="105">
        <v>60.268238105240748</v>
      </c>
      <c r="R48" s="105">
        <v>64.700082133618395</v>
      </c>
      <c r="S48" s="105">
        <v>67.470572359092117</v>
      </c>
      <c r="T48" s="105">
        <v>67.630592229120168</v>
      </c>
      <c r="U48" s="105">
        <v>65.870327655431169</v>
      </c>
      <c r="V48" s="105">
        <v>61.358878314749937</v>
      </c>
      <c r="W48" s="105">
        <v>53.116175440555097</v>
      </c>
      <c r="X48" s="105"/>
      <c r="Y48" s="105"/>
      <c r="Z48" s="105"/>
      <c r="AA48" s="105"/>
      <c r="AB48" s="105"/>
      <c r="AC48" s="105"/>
      <c r="AD48" s="105"/>
      <c r="AE48" s="105"/>
      <c r="AF48" s="106" t="s">
        <v>257</v>
      </c>
    </row>
    <row r="49" spans="2:32">
      <c r="B49" s="107" t="s">
        <v>476</v>
      </c>
      <c r="C49" s="102">
        <v>85.111989034108433</v>
      </c>
      <c r="D49" s="102">
        <v>90.921866849971167</v>
      </c>
      <c r="E49" s="103">
        <v>0.05</v>
      </c>
      <c r="F49" s="104" t="s">
        <v>165</v>
      </c>
      <c r="G49" s="104" t="s">
        <v>136</v>
      </c>
      <c r="H49" s="104" t="s">
        <v>139</v>
      </c>
      <c r="I49" s="105">
        <v>10</v>
      </c>
      <c r="J49" s="105">
        <v>1.4285714285714286</v>
      </c>
      <c r="K49" s="105">
        <v>57.130190350527279</v>
      </c>
      <c r="L49" s="105">
        <v>7</v>
      </c>
      <c r="M49" s="105">
        <v>62.94006816639002</v>
      </c>
      <c r="N49" s="105">
        <v>59.628965082693277</v>
      </c>
      <c r="O49" s="105">
        <v>65.438842898556032</v>
      </c>
      <c r="P49" s="105">
        <v>63.184168616286158</v>
      </c>
      <c r="Q49" s="105">
        <v>73.315978066231111</v>
      </c>
      <c r="R49" s="105">
        <v>79.050182706360346</v>
      </c>
      <c r="S49" s="105">
        <v>78.940384313328607</v>
      </c>
      <c r="T49" s="105">
        <v>80.01707092184364</v>
      </c>
      <c r="U49" s="105">
        <v>75.242836313033465</v>
      </c>
      <c r="V49" s="105">
        <v>67.629847679211878</v>
      </c>
      <c r="W49" s="105">
        <v>64.1712654156984</v>
      </c>
      <c r="X49" s="105">
        <v>67.419651638153852</v>
      </c>
      <c r="Y49" s="105">
        <v>78.173696779006946</v>
      </c>
      <c r="Z49" s="105">
        <v>83.266970473310039</v>
      </c>
      <c r="AA49" s="105">
        <v>84.820855391143681</v>
      </c>
      <c r="AB49" s="105">
        <v>86.594526405082036</v>
      </c>
      <c r="AC49" s="105">
        <v>80.321389996337189</v>
      </c>
      <c r="AD49" s="105">
        <v>73.622380227789904</v>
      </c>
      <c r="AE49" s="105">
        <v>70.812489185218823</v>
      </c>
      <c r="AF49" s="106" t="s">
        <v>252</v>
      </c>
    </row>
    <row r="50" spans="2:32">
      <c r="B50" s="107" t="s">
        <v>477</v>
      </c>
      <c r="C50" s="102">
        <v>91.678401862177381</v>
      </c>
      <c r="D50" s="102">
        <v>98.115398731662182</v>
      </c>
      <c r="E50" s="103">
        <v>0.05</v>
      </c>
      <c r="F50" s="104" t="s">
        <v>165</v>
      </c>
      <c r="G50" s="104" t="s">
        <v>137</v>
      </c>
      <c r="H50" s="104" t="s">
        <v>140</v>
      </c>
      <c r="I50" s="105">
        <v>10</v>
      </c>
      <c r="J50" s="105">
        <v>1.1111111111111112</v>
      </c>
      <c r="K50" s="105">
        <v>63.696603178596227</v>
      </c>
      <c r="L50" s="105">
        <v>9</v>
      </c>
      <c r="M50" s="105">
        <v>70.133600048081036</v>
      </c>
      <c r="N50" s="105">
        <v>66.195377910762232</v>
      </c>
      <c r="O50" s="105">
        <v>72.632374780247034</v>
      </c>
      <c r="P50" s="105">
        <v>66.792891612606397</v>
      </c>
      <c r="Q50" s="105">
        <v>74.564553296052352</v>
      </c>
      <c r="R50" s="105">
        <v>84.821532132647405</v>
      </c>
      <c r="S50" s="105">
        <v>86.573989430386376</v>
      </c>
      <c r="T50" s="105">
        <v>86.780702649363775</v>
      </c>
      <c r="U50" s="105">
        <v>82.455901122539331</v>
      </c>
      <c r="V50" s="105">
        <v>73.832748854182611</v>
      </c>
      <c r="W50" s="105">
        <v>65.823050439220665</v>
      </c>
      <c r="X50" s="105">
        <v>70.151262758448212</v>
      </c>
      <c r="Y50" s="105">
        <v>79.82778588238159</v>
      </c>
      <c r="Z50" s="105">
        <v>91.949196442791731</v>
      </c>
      <c r="AA50" s="105">
        <v>93.484920885164811</v>
      </c>
      <c r="AB50" s="105">
        <v>92.891957010213446</v>
      </c>
      <c r="AC50" s="105">
        <v>86.815450470840631</v>
      </c>
      <c r="AD50" s="105">
        <v>80.088755637907468</v>
      </c>
      <c r="AE50" s="105">
        <v>74.403220633472969</v>
      </c>
      <c r="AF50" s="106" t="s">
        <v>253</v>
      </c>
    </row>
    <row r="51" spans="2:32">
      <c r="B51" s="107" t="s">
        <v>474</v>
      </c>
      <c r="C51" s="102">
        <v>88.593630916893403</v>
      </c>
      <c r="D51" s="102">
        <v>96.322472362510311</v>
      </c>
      <c r="E51" s="103">
        <v>0.05</v>
      </c>
      <c r="F51" s="104" t="s">
        <v>165</v>
      </c>
      <c r="G51" s="104" t="s">
        <v>136</v>
      </c>
      <c r="H51" s="104" t="s">
        <v>139</v>
      </c>
      <c r="I51" s="105">
        <v>10</v>
      </c>
      <c r="J51" s="105">
        <v>1.3392857142857144</v>
      </c>
      <c r="K51" s="105">
        <v>60.611832233312256</v>
      </c>
      <c r="L51" s="105">
        <v>7.5</v>
      </c>
      <c r="M51" s="105">
        <v>68.340673678929164</v>
      </c>
      <c r="N51" s="105">
        <v>63.110606965478262</v>
      </c>
      <c r="O51" s="105">
        <v>70.839448411095162</v>
      </c>
      <c r="P51" s="105">
        <v>61.923887468772669</v>
      </c>
      <c r="Q51" s="105">
        <v>64.368690355014209</v>
      </c>
      <c r="R51" s="105">
        <v>73.994021202058008</v>
      </c>
      <c r="S51" s="105">
        <v>80.58297514666279</v>
      </c>
      <c r="T51" s="105">
        <v>83.555935433259535</v>
      </c>
      <c r="U51" s="105">
        <v>84.635699119942132</v>
      </c>
      <c r="V51" s="105">
        <v>77.366447909515784</v>
      </c>
      <c r="W51" s="105">
        <v>68.775525563417943</v>
      </c>
      <c r="X51" s="105">
        <v>65.185270522466169</v>
      </c>
      <c r="Y51" s="105">
        <v>68.836049904510759</v>
      </c>
      <c r="Z51" s="105">
        <v>81.677283481388855</v>
      </c>
      <c r="AA51" s="105">
        <v>86.844077692933396</v>
      </c>
      <c r="AB51" s="105">
        <v>89.956169607336278</v>
      </c>
      <c r="AC51" s="105">
        <v>93.689227986278439</v>
      </c>
      <c r="AD51" s="105">
        <v>84.427214938437231</v>
      </c>
      <c r="AE51" s="105">
        <v>74.129971643715606</v>
      </c>
      <c r="AF51" s="106" t="s">
        <v>254</v>
      </c>
    </row>
    <row r="52" spans="2:32">
      <c r="B52" s="107" t="s">
        <v>475</v>
      </c>
      <c r="C52" s="102">
        <v>95.38037017167035</v>
      </c>
      <c r="D52" s="102">
        <v>102.25810379631955</v>
      </c>
      <c r="E52" s="103">
        <v>0.05</v>
      </c>
      <c r="F52" s="104" t="s">
        <v>165</v>
      </c>
      <c r="G52" s="104" t="s">
        <v>137</v>
      </c>
      <c r="H52" s="104" t="s">
        <v>140</v>
      </c>
      <c r="I52" s="105">
        <v>10</v>
      </c>
      <c r="J52" s="105">
        <v>1.25</v>
      </c>
      <c r="K52" s="105">
        <v>67.398571488089189</v>
      </c>
      <c r="L52" s="105">
        <v>8</v>
      </c>
      <c r="M52" s="105">
        <v>74.276305112738413</v>
      </c>
      <c r="N52" s="105">
        <v>69.897346220255187</v>
      </c>
      <c r="O52" s="105">
        <v>76.775079844904411</v>
      </c>
      <c r="P52" s="105">
        <v>64.494168327656908</v>
      </c>
      <c r="Q52" s="105">
        <v>68.451642065557806</v>
      </c>
      <c r="R52" s="105">
        <v>80.46225720481317</v>
      </c>
      <c r="S52" s="105">
        <v>86.301842594253685</v>
      </c>
      <c r="T52" s="105">
        <v>90.579065560462539</v>
      </c>
      <c r="U52" s="105">
        <v>91.660861512137828</v>
      </c>
      <c r="V52" s="105">
        <v>84.462803046540316</v>
      </c>
      <c r="W52" s="105">
        <v>72.046267799647026</v>
      </c>
      <c r="X52" s="105">
        <v>69.570131202754055</v>
      </c>
      <c r="Y52" s="105">
        <v>75.250255288317163</v>
      </c>
      <c r="Z52" s="105">
        <v>86.866883683406087</v>
      </c>
      <c r="AA52" s="105">
        <v>92.334556244843469</v>
      </c>
      <c r="AB52" s="105">
        <v>97.515701829229982</v>
      </c>
      <c r="AC52" s="105">
        <v>98.697548829714634</v>
      </c>
      <c r="AD52" s="105">
        <v>91.267102635815718</v>
      </c>
      <c r="AE52" s="105">
        <v>78.919841670514813</v>
      </c>
      <c r="AF52" s="106" t="s">
        <v>255</v>
      </c>
    </row>
    <row r="53" spans="2:32">
      <c r="B53" s="107" t="s">
        <v>478</v>
      </c>
      <c r="C53" s="102">
        <v>86.269297504519898</v>
      </c>
      <c r="D53" s="102">
        <v>92.240935486324716</v>
      </c>
      <c r="E53" s="103">
        <v>0.05</v>
      </c>
      <c r="F53" s="104" t="s">
        <v>165</v>
      </c>
      <c r="G53" s="104" t="s">
        <v>136</v>
      </c>
      <c r="H53" s="104" t="s">
        <v>139</v>
      </c>
      <c r="I53" s="105">
        <v>10</v>
      </c>
      <c r="J53" s="105">
        <v>1.4583333333333335</v>
      </c>
      <c r="K53" s="105">
        <v>58.287498820938744</v>
      </c>
      <c r="L53" s="105">
        <v>7</v>
      </c>
      <c r="M53" s="105">
        <v>64.259136802743569</v>
      </c>
      <c r="N53" s="105">
        <v>60.786273553104742</v>
      </c>
      <c r="O53" s="105">
        <v>66.757911534909567</v>
      </c>
      <c r="P53" s="105">
        <v>67.21917697595579</v>
      </c>
      <c r="Q53" s="105">
        <v>68.841237564763162</v>
      </c>
      <c r="R53" s="105">
        <v>74.162659039499943</v>
      </c>
      <c r="S53" s="105">
        <v>77.809759840855847</v>
      </c>
      <c r="T53" s="105">
        <v>82.295074161052767</v>
      </c>
      <c r="U53" s="105">
        <v>80.621006057087328</v>
      </c>
      <c r="V53" s="105">
        <v>74.883127081201749</v>
      </c>
      <c r="W53" s="105">
        <v>69.237074046056975</v>
      </c>
      <c r="X53" s="105">
        <v>70.877337146831451</v>
      </c>
      <c r="Y53" s="105">
        <v>72.641375397684257</v>
      </c>
      <c r="Z53" s="105">
        <v>81.287089287871865</v>
      </c>
      <c r="AA53" s="105">
        <v>81.518337979431621</v>
      </c>
      <c r="AB53" s="105">
        <v>87.967807002495533</v>
      </c>
      <c r="AC53" s="105">
        <v>87.846224457564162</v>
      </c>
      <c r="AD53" s="105">
        <v>78.566700514176787</v>
      </c>
      <c r="AE53" s="105">
        <v>73.358559655437929</v>
      </c>
      <c r="AF53" s="106" t="s">
        <v>256</v>
      </c>
    </row>
    <row r="54" spans="2:32">
      <c r="B54" s="107" t="s">
        <v>479</v>
      </c>
      <c r="C54" s="102">
        <v>88.796521505005785</v>
      </c>
      <c r="D54" s="102">
        <v>96.011165553527064</v>
      </c>
      <c r="E54" s="103">
        <v>0.05</v>
      </c>
      <c r="F54" s="104" t="s">
        <v>165</v>
      </c>
      <c r="G54" s="104" t="s">
        <v>137</v>
      </c>
      <c r="H54" s="104" t="s">
        <v>140</v>
      </c>
      <c r="I54" s="105">
        <v>10</v>
      </c>
      <c r="J54" s="105">
        <v>1.1805555555555556</v>
      </c>
      <c r="K54" s="105">
        <v>60.814722821424638</v>
      </c>
      <c r="L54" s="105">
        <v>8.5</v>
      </c>
      <c r="M54" s="105">
        <v>68.029366869945903</v>
      </c>
      <c r="N54" s="105">
        <v>63.313497553590636</v>
      </c>
      <c r="O54" s="105">
        <v>70.528141602111901</v>
      </c>
      <c r="P54" s="105">
        <v>62.857110687957885</v>
      </c>
      <c r="Q54" s="105">
        <v>64.257290251272977</v>
      </c>
      <c r="R54" s="105">
        <v>75.272709256895212</v>
      </c>
      <c r="S54" s="105">
        <v>80.213758692431739</v>
      </c>
      <c r="T54" s="105">
        <v>84.77756531983033</v>
      </c>
      <c r="U54" s="105">
        <v>84.213835877968037</v>
      </c>
      <c r="V54" s="105">
        <v>76.150365571545095</v>
      </c>
      <c r="W54" s="105">
        <v>69.608802276059194</v>
      </c>
      <c r="X54" s="105">
        <v>66.893453632322348</v>
      </c>
      <c r="Y54" s="105">
        <v>68.962718883701456</v>
      </c>
      <c r="Z54" s="105">
        <v>80.412848023558098</v>
      </c>
      <c r="AA54" s="105">
        <v>86.701092622614794</v>
      </c>
      <c r="AB54" s="105">
        <v>91.447167018054529</v>
      </c>
      <c r="AC54" s="105">
        <v>92.461702058615373</v>
      </c>
      <c r="AD54" s="105">
        <v>82.434672752923632</v>
      </c>
      <c r="AE54" s="105">
        <v>76.186230819950993</v>
      </c>
      <c r="AF54" s="106" t="s">
        <v>259</v>
      </c>
    </row>
    <row r="55" spans="2:32">
      <c r="B55" s="94"/>
      <c r="C55" s="102"/>
      <c r="D55" s="102"/>
      <c r="E55" s="103"/>
      <c r="F55" s="104"/>
      <c r="G55" s="104"/>
      <c r="H55" s="104"/>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6"/>
    </row>
    <row r="56" spans="2:32">
      <c r="B56" s="98" t="s">
        <v>192</v>
      </c>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row>
    <row r="57" spans="2:32">
      <c r="B57" s="101" t="s">
        <v>185</v>
      </c>
      <c r="C57" s="102"/>
      <c r="D57" s="102"/>
      <c r="E57" s="103"/>
      <c r="F57" s="104"/>
      <c r="G57" s="104"/>
      <c r="H57" s="104"/>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6"/>
    </row>
    <row r="58" spans="2:32">
      <c r="B58" s="107" t="s">
        <v>372</v>
      </c>
      <c r="C58" s="102">
        <v>82.006725937342594</v>
      </c>
      <c r="D58" s="102">
        <v>101.52389465087731</v>
      </c>
      <c r="E58" s="103">
        <v>0.1</v>
      </c>
      <c r="F58" s="104" t="s">
        <v>67</v>
      </c>
      <c r="G58" s="104" t="s">
        <v>181</v>
      </c>
      <c r="H58" s="104" t="s">
        <v>272</v>
      </c>
      <c r="I58" s="105">
        <v>13.4</v>
      </c>
      <c r="J58" s="105"/>
      <c r="K58" s="105">
        <v>54.482831286465291</v>
      </c>
      <c r="L58" s="105">
        <v>61</v>
      </c>
      <c r="M58" s="105">
        <v>74</v>
      </c>
      <c r="N58" s="105">
        <v>63.319091067145429</v>
      </c>
      <c r="O58" s="105">
        <v>79.040870699462147</v>
      </c>
      <c r="P58" s="105">
        <v>63.482285723360228</v>
      </c>
      <c r="Q58" s="105">
        <v>67.294922117824854</v>
      </c>
      <c r="R58" s="105">
        <v>71.403840492684608</v>
      </c>
      <c r="S58" s="105">
        <v>74.230457589075996</v>
      </c>
      <c r="T58" s="105">
        <v>76.338740082603479</v>
      </c>
      <c r="U58" s="105">
        <v>74.864951250563081</v>
      </c>
      <c r="V58" s="105">
        <v>75.168375925960873</v>
      </c>
      <c r="W58" s="105">
        <v>66.304137655829209</v>
      </c>
      <c r="X58" s="105"/>
      <c r="Y58" s="105"/>
      <c r="Z58" s="105"/>
      <c r="AA58" s="105"/>
      <c r="AB58" s="105"/>
      <c r="AC58" s="105"/>
      <c r="AD58" s="105"/>
      <c r="AE58" s="105"/>
      <c r="AF58" s="106" t="s">
        <v>272</v>
      </c>
    </row>
    <row r="59" spans="2:32">
      <c r="B59" s="107" t="s">
        <v>440</v>
      </c>
      <c r="C59" s="102">
        <v>92.290680518658206</v>
      </c>
      <c r="D59" s="102">
        <v>98.25709864022096</v>
      </c>
      <c r="E59" s="103">
        <v>0.05</v>
      </c>
      <c r="F59" s="104" t="s">
        <v>141</v>
      </c>
      <c r="G59" s="104" t="s">
        <v>136</v>
      </c>
      <c r="H59" s="104" t="s">
        <v>134</v>
      </c>
      <c r="I59" s="105">
        <v>10</v>
      </c>
      <c r="J59" s="105">
        <v>1.4285714285714286</v>
      </c>
      <c r="K59" s="105">
        <v>64.298581878437247</v>
      </c>
      <c r="L59" s="105">
        <v>7</v>
      </c>
      <c r="M59" s="105">
        <v>70.265000000000001</v>
      </c>
      <c r="N59" s="105">
        <v>66.797356610603245</v>
      </c>
      <c r="O59" s="105">
        <v>72.763774732165999</v>
      </c>
      <c r="P59" s="105">
        <v>54.879997281056959</v>
      </c>
      <c r="Q59" s="105">
        <v>68.503334700304606</v>
      </c>
      <c r="R59" s="105">
        <v>84.231922844450096</v>
      </c>
      <c r="S59" s="105">
        <v>85.935352733610969</v>
      </c>
      <c r="T59" s="105">
        <v>86.169795383250317</v>
      </c>
      <c r="U59" s="105">
        <v>85.781536195468902</v>
      </c>
      <c r="V59" s="105">
        <v>83.266225460954615</v>
      </c>
      <c r="W59" s="105">
        <v>74.034958403714896</v>
      </c>
      <c r="X59" s="105">
        <v>57.723071670873111</v>
      </c>
      <c r="Y59" s="105">
        <v>72.491299383794257</v>
      </c>
      <c r="Z59" s="105">
        <v>88.036515577109384</v>
      </c>
      <c r="AA59" s="105">
        <v>90.993033193213066</v>
      </c>
      <c r="AB59" s="105">
        <v>91.94868202589717</v>
      </c>
      <c r="AC59" s="105">
        <v>91.9569375538928</v>
      </c>
      <c r="AD59" s="105">
        <v>91.104169034374337</v>
      </c>
      <c r="AE59" s="105">
        <v>80.108074868558873</v>
      </c>
      <c r="AF59" s="106" t="s">
        <v>75</v>
      </c>
    </row>
    <row r="60" spans="2:32">
      <c r="B60" s="107" t="s">
        <v>454</v>
      </c>
      <c r="C60" s="102">
        <v>102.78621467466864</v>
      </c>
      <c r="D60" s="102">
        <v>107.63709864022096</v>
      </c>
      <c r="E60" s="103">
        <v>0.05</v>
      </c>
      <c r="F60" s="104" t="s">
        <v>141</v>
      </c>
      <c r="G60" s="104" t="s">
        <v>137</v>
      </c>
      <c r="H60" s="104" t="s">
        <v>134</v>
      </c>
      <c r="I60" s="105">
        <v>10</v>
      </c>
      <c r="J60" s="105">
        <v>1.4583333333333335</v>
      </c>
      <c r="K60" s="105">
        <v>74.794116034447683</v>
      </c>
      <c r="L60" s="105">
        <v>7</v>
      </c>
      <c r="M60" s="105">
        <v>79.644999999999996</v>
      </c>
      <c r="N60" s="105">
        <v>77.292890766613667</v>
      </c>
      <c r="O60" s="105">
        <v>82.143774732165994</v>
      </c>
      <c r="P60" s="105">
        <v>64.029275148034841</v>
      </c>
      <c r="Q60" s="105">
        <v>74.958695552386033</v>
      </c>
      <c r="R60" s="105">
        <v>86.793218280167949</v>
      </c>
      <c r="S60" s="105">
        <v>94.848314627977771</v>
      </c>
      <c r="T60" s="105">
        <v>97.248098852134603</v>
      </c>
      <c r="U60" s="105">
        <v>98.17472888382386</v>
      </c>
      <c r="V60" s="105">
        <v>95.263748172761069</v>
      </c>
      <c r="W60" s="105">
        <v>82.863480004793985</v>
      </c>
      <c r="X60" s="105">
        <v>66.161261449936219</v>
      </c>
      <c r="Y60" s="105">
        <v>79.059303375410707</v>
      </c>
      <c r="Z60" s="105">
        <v>90.506486439173841</v>
      </c>
      <c r="AA60" s="105">
        <v>98.611878966190886</v>
      </c>
      <c r="AB60" s="105">
        <v>101.23214825398287</v>
      </c>
      <c r="AC60" s="105">
        <v>103.19943977042885</v>
      </c>
      <c r="AD60" s="105">
        <v>101.51109707718496</v>
      </c>
      <c r="AE60" s="105">
        <v>90.355513035631958</v>
      </c>
      <c r="AF60" s="106" t="s">
        <v>75</v>
      </c>
    </row>
    <row r="61" spans="2:32">
      <c r="B61" s="107" t="s">
        <v>441</v>
      </c>
      <c r="C61" s="102">
        <v>97.034450359673414</v>
      </c>
      <c r="D61" s="102">
        <v>102.73209864022095</v>
      </c>
      <c r="E61" s="103">
        <v>0.05</v>
      </c>
      <c r="F61" s="104" t="s">
        <v>141</v>
      </c>
      <c r="G61" s="104" t="s">
        <v>136</v>
      </c>
      <c r="H61" s="104" t="s">
        <v>134</v>
      </c>
      <c r="I61" s="105">
        <v>10</v>
      </c>
      <c r="J61" s="105">
        <v>1.3392857142857144</v>
      </c>
      <c r="K61" s="105">
        <v>69.042351719452455</v>
      </c>
      <c r="L61" s="105">
        <v>7.5</v>
      </c>
      <c r="M61" s="105">
        <v>74.739999999999995</v>
      </c>
      <c r="N61" s="105">
        <v>71.541126451618453</v>
      </c>
      <c r="O61" s="105">
        <v>77.238774732165993</v>
      </c>
      <c r="P61" s="105">
        <v>51.938566072098233</v>
      </c>
      <c r="Q61" s="105">
        <v>62.60780860874938</v>
      </c>
      <c r="R61" s="105">
        <v>78.491721221843576</v>
      </c>
      <c r="S61" s="105">
        <v>84.94743141735745</v>
      </c>
      <c r="T61" s="105">
        <v>88.558613000496749</v>
      </c>
      <c r="U61" s="105">
        <v>91.718513346724606</v>
      </c>
      <c r="V61" s="105">
        <v>93.723388583995998</v>
      </c>
      <c r="W61" s="105">
        <v>80.287553173967993</v>
      </c>
      <c r="X61" s="105">
        <v>54.810482279118737</v>
      </c>
      <c r="Y61" s="105">
        <v>66.324349458765056</v>
      </c>
      <c r="Z61" s="105">
        <v>82.493703616842879</v>
      </c>
      <c r="AA61" s="105">
        <v>89.602073263466906</v>
      </c>
      <c r="AB61" s="105">
        <v>93.115313621082038</v>
      </c>
      <c r="AC61" s="105">
        <v>97.21106535008002</v>
      </c>
      <c r="AD61" s="105">
        <v>99.907556504709902</v>
      </c>
      <c r="AE61" s="105">
        <v>86.990691808158658</v>
      </c>
      <c r="AF61" s="106" t="s">
        <v>76</v>
      </c>
    </row>
    <row r="62" spans="2:32">
      <c r="B62" s="107" t="s">
        <v>455</v>
      </c>
      <c r="C62" s="102">
        <v>103.11129606588223</v>
      </c>
      <c r="D62" s="102">
        <v>106.75709864022096</v>
      </c>
      <c r="E62" s="103">
        <v>0.05</v>
      </c>
      <c r="F62" s="104" t="s">
        <v>141</v>
      </c>
      <c r="G62" s="104" t="s">
        <v>137</v>
      </c>
      <c r="H62" s="104" t="s">
        <v>134</v>
      </c>
      <c r="I62" s="105">
        <v>10</v>
      </c>
      <c r="J62" s="105">
        <v>1.6666666666666667</v>
      </c>
      <c r="K62" s="105">
        <v>75.11919742566127</v>
      </c>
      <c r="L62" s="105">
        <v>6</v>
      </c>
      <c r="M62" s="105">
        <v>78.765000000000001</v>
      </c>
      <c r="N62" s="105">
        <v>77.617972157827268</v>
      </c>
      <c r="O62" s="105">
        <v>81.263774732165999</v>
      </c>
      <c r="P62" s="105">
        <v>67.706066215400199</v>
      </c>
      <c r="Q62" s="105">
        <v>72.148424721412781</v>
      </c>
      <c r="R62" s="105">
        <v>79.543843967605042</v>
      </c>
      <c r="S62" s="105">
        <v>90.560029571711567</v>
      </c>
      <c r="T62" s="105">
        <v>95.630640537085327</v>
      </c>
      <c r="U62" s="105">
        <v>98.613162081629412</v>
      </c>
      <c r="V62" s="105">
        <v>99.012611177231889</v>
      </c>
      <c r="W62" s="105">
        <v>85.203213078823609</v>
      </c>
      <c r="X62" s="105">
        <v>69.457977533448528</v>
      </c>
      <c r="Y62" s="105">
        <v>74.862269993338685</v>
      </c>
      <c r="Z62" s="105">
        <v>81.856576176308948</v>
      </c>
      <c r="AA62" s="105">
        <v>93.478018001871249</v>
      </c>
      <c r="AB62" s="105">
        <v>98.695164416287923</v>
      </c>
      <c r="AC62" s="105">
        <v>101.89338956540615</v>
      </c>
      <c r="AD62" s="105">
        <v>103.20513062187669</v>
      </c>
      <c r="AE62" s="105">
        <v>90.163827403412512</v>
      </c>
      <c r="AF62" s="106" t="s">
        <v>76</v>
      </c>
    </row>
    <row r="63" spans="2:32">
      <c r="B63" s="107" t="s">
        <v>480</v>
      </c>
      <c r="C63" s="102">
        <v>107.48335184288777</v>
      </c>
      <c r="D63" s="102">
        <v>111.41217863080581</v>
      </c>
      <c r="E63" s="103">
        <v>0.05</v>
      </c>
      <c r="F63" s="104" t="s">
        <v>142</v>
      </c>
      <c r="G63" s="104" t="s">
        <v>136</v>
      </c>
      <c r="H63" s="104" t="s">
        <v>139</v>
      </c>
      <c r="I63" s="105">
        <v>10</v>
      </c>
      <c r="J63" s="105">
        <v>1.3392857142857144</v>
      </c>
      <c r="K63" s="105">
        <v>79.50155315930661</v>
      </c>
      <c r="L63" s="105">
        <v>7.5</v>
      </c>
      <c r="M63" s="105">
        <v>83.430379947224665</v>
      </c>
      <c r="N63" s="105">
        <v>82.000327891472608</v>
      </c>
      <c r="O63" s="105">
        <v>85.929154679390663</v>
      </c>
      <c r="P63" s="105">
        <v>63.841410087139046</v>
      </c>
      <c r="Q63" s="105">
        <v>73.427111645510593</v>
      </c>
      <c r="R63" s="105">
        <v>86.89374050758245</v>
      </c>
      <c r="S63" s="105">
        <v>99.389877507492628</v>
      </c>
      <c r="T63" s="105">
        <v>102.69545720154112</v>
      </c>
      <c r="U63" s="105">
        <v>102.27318793616112</v>
      </c>
      <c r="V63" s="105">
        <v>100.17608058949182</v>
      </c>
      <c r="W63" s="105">
        <v>89.65210526210214</v>
      </c>
      <c r="X63" s="105">
        <v>67.063770060110841</v>
      </c>
      <c r="Y63" s="105">
        <v>77.448407784371312</v>
      </c>
      <c r="Z63" s="105">
        <v>91.038771917117344</v>
      </c>
      <c r="AA63" s="105">
        <v>103.85222259106138</v>
      </c>
      <c r="AB63" s="105">
        <v>106.77333938926378</v>
      </c>
      <c r="AC63" s="105">
        <v>105.66065134376115</v>
      </c>
      <c r="AD63" s="105">
        <v>104.12284994753173</v>
      </c>
      <c r="AE63" s="105">
        <v>93.936514382518908</v>
      </c>
      <c r="AF63" s="106" t="s">
        <v>77</v>
      </c>
    </row>
    <row r="64" spans="2:32">
      <c r="B64" s="107" t="s">
        <v>506</v>
      </c>
      <c r="C64" s="102">
        <v>103.78852530954003</v>
      </c>
      <c r="D64" s="102">
        <v>108.99505281250509</v>
      </c>
      <c r="E64" s="103">
        <v>0.05</v>
      </c>
      <c r="F64" s="104" t="s">
        <v>142</v>
      </c>
      <c r="G64" s="104" t="s">
        <v>137</v>
      </c>
      <c r="H64" s="104" t="s">
        <v>140</v>
      </c>
      <c r="I64" s="105">
        <v>10</v>
      </c>
      <c r="J64" s="105">
        <v>1.1111111111111112</v>
      </c>
      <c r="K64" s="105">
        <v>75.806726625958888</v>
      </c>
      <c r="L64" s="105">
        <v>9</v>
      </c>
      <c r="M64" s="105">
        <v>81.013254128923947</v>
      </c>
      <c r="N64" s="105">
        <v>78.305501358124886</v>
      </c>
      <c r="O64" s="105">
        <v>83.512028861089945</v>
      </c>
      <c r="P64" s="105">
        <v>66.93845544167965</v>
      </c>
      <c r="Q64" s="105">
        <v>77.11902321971418</v>
      </c>
      <c r="R64" s="105">
        <v>90.829888116118482</v>
      </c>
      <c r="S64" s="105">
        <v>96.987538112755487</v>
      </c>
      <c r="T64" s="105">
        <v>99.383614192889752</v>
      </c>
      <c r="U64" s="105">
        <v>98.38027103735493</v>
      </c>
      <c r="V64" s="105">
        <v>92.608835380077636</v>
      </c>
      <c r="W64" s="105">
        <v>84.366475699341308</v>
      </c>
      <c r="X64" s="105">
        <v>70.647271068312392</v>
      </c>
      <c r="Y64" s="105">
        <v>81.540884879307598</v>
      </c>
      <c r="Z64" s="105">
        <v>96.012507037417009</v>
      </c>
      <c r="AA64" s="105">
        <v>101.44980617175025</v>
      </c>
      <c r="AB64" s="105">
        <v>105.24636386542852</v>
      </c>
      <c r="AC64" s="105">
        <v>103.29556863309924</v>
      </c>
      <c r="AD64" s="105">
        <v>97.372534217155788</v>
      </c>
      <c r="AE64" s="105">
        <v>89.756560430869172</v>
      </c>
      <c r="AF64" s="106" t="s">
        <v>78</v>
      </c>
    </row>
    <row r="65" spans="2:32">
      <c r="B65" s="107" t="s">
        <v>505</v>
      </c>
      <c r="C65" s="102">
        <v>106.79337440078373</v>
      </c>
      <c r="D65" s="102">
        <v>110.95306672791776</v>
      </c>
      <c r="E65" s="103">
        <v>0.05</v>
      </c>
      <c r="F65" s="104" t="s">
        <v>142</v>
      </c>
      <c r="G65" s="104" t="s">
        <v>137</v>
      </c>
      <c r="H65" s="104" t="s">
        <v>140</v>
      </c>
      <c r="I65" s="105">
        <v>10</v>
      </c>
      <c r="J65" s="105">
        <v>1.1111111111111112</v>
      </c>
      <c r="K65" s="105">
        <v>78.811575717202601</v>
      </c>
      <c r="L65" s="105">
        <v>9</v>
      </c>
      <c r="M65" s="105">
        <v>82.971268044336611</v>
      </c>
      <c r="N65" s="105">
        <v>81.310350449368599</v>
      </c>
      <c r="O65" s="105">
        <v>85.470042776502609</v>
      </c>
      <c r="P65" s="105">
        <v>63.983620763467933</v>
      </c>
      <c r="Q65" s="105">
        <v>74.307811421863391</v>
      </c>
      <c r="R65" s="105">
        <v>86.339645133624543</v>
      </c>
      <c r="S65" s="105">
        <v>98.948201255901552</v>
      </c>
      <c r="T65" s="105">
        <v>101.83367377005631</v>
      </c>
      <c r="U65" s="105">
        <v>101.93349402244527</v>
      </c>
      <c r="V65" s="105">
        <v>98.971057906099574</v>
      </c>
      <c r="W65" s="105">
        <v>88.627020896350274</v>
      </c>
      <c r="X65" s="105">
        <v>66.983352894934711</v>
      </c>
      <c r="Y65" s="105">
        <v>80.758915534237389</v>
      </c>
      <c r="Z65" s="105">
        <v>91.46729252710557</v>
      </c>
      <c r="AA65" s="105">
        <v>103.10706755902558</v>
      </c>
      <c r="AB65" s="105">
        <v>106.55286608061434</v>
      </c>
      <c r="AC65" s="105">
        <v>105.39593719940679</v>
      </c>
      <c r="AD65" s="105">
        <v>102.92665926171996</v>
      </c>
      <c r="AE65" s="105">
        <v>93.824700434780382</v>
      </c>
      <c r="AF65" s="106" t="s">
        <v>79</v>
      </c>
    </row>
    <row r="66" spans="2:32">
      <c r="B66" s="107" t="s">
        <v>531</v>
      </c>
      <c r="C66" s="102">
        <v>85.86264528845534</v>
      </c>
      <c r="D66" s="102">
        <v>90.537098640220961</v>
      </c>
      <c r="E66" s="103">
        <v>0.05</v>
      </c>
      <c r="F66" s="104" t="s">
        <v>143</v>
      </c>
      <c r="G66" s="104" t="s">
        <v>137</v>
      </c>
      <c r="H66" s="104" t="s">
        <v>134</v>
      </c>
      <c r="I66" s="105">
        <v>10</v>
      </c>
      <c r="J66" s="105">
        <v>1.4285714285714286</v>
      </c>
      <c r="K66" s="105">
        <v>57.870546648234374</v>
      </c>
      <c r="L66" s="105">
        <v>7</v>
      </c>
      <c r="M66" s="105">
        <v>62.545000000000002</v>
      </c>
      <c r="N66" s="105">
        <v>60.369321380400372</v>
      </c>
      <c r="O66" s="105">
        <v>65.043774732166</v>
      </c>
      <c r="P66" s="105">
        <v>68.548073341586729</v>
      </c>
      <c r="Q66" s="105">
        <v>66.727513787687187</v>
      </c>
      <c r="R66" s="105">
        <v>71.248518232789962</v>
      </c>
      <c r="S66" s="105">
        <v>77.176146636258864</v>
      </c>
      <c r="T66" s="105">
        <v>81.691291110452013</v>
      </c>
      <c r="U66" s="105">
        <v>81.235027599075366</v>
      </c>
      <c r="V66" s="105">
        <v>78.581407896127374</v>
      </c>
      <c r="W66" s="105">
        <v>74.410884675790854</v>
      </c>
      <c r="X66" s="105">
        <v>71.669188191563435</v>
      </c>
      <c r="Y66" s="105">
        <v>69.678868610315519</v>
      </c>
      <c r="Z66" s="105">
        <v>75.142282452553104</v>
      </c>
      <c r="AA66" s="105">
        <v>83.314343925093425</v>
      </c>
      <c r="AB66" s="105">
        <v>87.36607368920005</v>
      </c>
      <c r="AC66" s="105">
        <v>86.117891842317704</v>
      </c>
      <c r="AD66" s="105">
        <v>84.155430432760824</v>
      </c>
      <c r="AE66" s="105">
        <v>78.281190873306997</v>
      </c>
      <c r="AF66" s="106" t="s">
        <v>80</v>
      </c>
    </row>
    <row r="67" spans="2:32">
      <c r="B67" s="107" t="s">
        <v>532</v>
      </c>
      <c r="C67" s="102">
        <v>87.660814758098908</v>
      </c>
      <c r="D67" s="102">
        <v>93.562098640220952</v>
      </c>
      <c r="E67" s="103">
        <v>0.05</v>
      </c>
      <c r="F67" s="104" t="s">
        <v>143</v>
      </c>
      <c r="G67" s="104" t="s">
        <v>137</v>
      </c>
      <c r="H67" s="104" t="s">
        <v>134</v>
      </c>
      <c r="I67" s="105">
        <v>10</v>
      </c>
      <c r="J67" s="105">
        <v>1.3392857142857144</v>
      </c>
      <c r="K67" s="105">
        <v>59.668716117877942</v>
      </c>
      <c r="L67" s="105">
        <v>7.5</v>
      </c>
      <c r="M67" s="105">
        <v>65.569999999999993</v>
      </c>
      <c r="N67" s="105">
        <v>62.16749085004394</v>
      </c>
      <c r="O67" s="105">
        <v>68.068774732165991</v>
      </c>
      <c r="P67" s="105">
        <v>58.398756057490814</v>
      </c>
      <c r="Q67" s="105">
        <v>58.428108357257607</v>
      </c>
      <c r="R67" s="105">
        <v>69.003006647315729</v>
      </c>
      <c r="S67" s="105">
        <v>76.340950967485085</v>
      </c>
      <c r="T67" s="105">
        <v>81.675443059854175</v>
      </c>
      <c r="U67" s="105">
        <v>83.07841201995754</v>
      </c>
      <c r="V67" s="105">
        <v>81.471784893477349</v>
      </c>
      <c r="W67" s="105">
        <v>76.082955533497795</v>
      </c>
      <c r="X67" s="105">
        <v>62.376445601330722</v>
      </c>
      <c r="Y67" s="105">
        <v>61.658700059195723</v>
      </c>
      <c r="Z67" s="105">
        <v>75.743553759972087</v>
      </c>
      <c r="AA67" s="105">
        <v>82.801707464400067</v>
      </c>
      <c r="AB67" s="105">
        <v>87.528781407106109</v>
      </c>
      <c r="AC67" s="105">
        <v>88.888704079171504</v>
      </c>
      <c r="AD67" s="105">
        <v>87.268695371894083</v>
      </c>
      <c r="AE67" s="105">
        <v>81.939562445808491</v>
      </c>
      <c r="AF67" s="106" t="s">
        <v>81</v>
      </c>
    </row>
    <row r="68" spans="2:32">
      <c r="B68" s="107" t="s">
        <v>533</v>
      </c>
      <c r="C68" s="102">
        <v>72.081521767990253</v>
      </c>
      <c r="D68" s="102">
        <v>80.352098640221001</v>
      </c>
      <c r="E68" s="103">
        <v>0.05</v>
      </c>
      <c r="F68" s="104" t="s">
        <v>143</v>
      </c>
      <c r="G68" s="104" t="s">
        <v>136</v>
      </c>
      <c r="H68" s="104" t="s">
        <v>134</v>
      </c>
      <c r="I68" s="105">
        <v>10</v>
      </c>
      <c r="J68" s="105">
        <v>1.5476190476190477</v>
      </c>
      <c r="K68" s="105">
        <v>44.089423127769294</v>
      </c>
      <c r="L68" s="105">
        <v>6.5</v>
      </c>
      <c r="M68" s="105">
        <v>52.360000000000007</v>
      </c>
      <c r="N68" s="105">
        <v>46.588197859935292</v>
      </c>
      <c r="O68" s="105">
        <v>54.858774732166005</v>
      </c>
      <c r="P68" s="105">
        <v>47.800906074606971</v>
      </c>
      <c r="Q68" s="105">
        <v>51.697587033368215</v>
      </c>
      <c r="R68" s="105">
        <v>59.006448601925825</v>
      </c>
      <c r="S68" s="105">
        <v>61.759573046695579</v>
      </c>
      <c r="T68" s="105">
        <v>65.806167960286288</v>
      </c>
      <c r="U68" s="105">
        <v>66.476986658560207</v>
      </c>
      <c r="V68" s="105">
        <v>64.933284841800059</v>
      </c>
      <c r="W68" s="105">
        <v>63.582210905802476</v>
      </c>
      <c r="X68" s="105">
        <v>51.252080125638983</v>
      </c>
      <c r="Y68" s="105">
        <v>54.818226039112403</v>
      </c>
      <c r="Z68" s="105">
        <v>61.649041911860728</v>
      </c>
      <c r="AA68" s="105">
        <v>64.771654739482827</v>
      </c>
      <c r="AB68" s="105">
        <v>72.414766401190619</v>
      </c>
      <c r="AC68" s="105">
        <v>75.197344336343832</v>
      </c>
      <c r="AD68" s="105">
        <v>75.337753017313389</v>
      </c>
      <c r="AE68" s="105">
        <v>72.290293718140873</v>
      </c>
      <c r="AF68" s="106" t="s">
        <v>80</v>
      </c>
    </row>
    <row r="69" spans="2:32">
      <c r="B69" s="107" t="s">
        <v>534</v>
      </c>
      <c r="C69" s="102">
        <v>73.371002414078703</v>
      </c>
      <c r="D69" s="102">
        <v>83.482098640220954</v>
      </c>
      <c r="E69" s="103">
        <v>0.05</v>
      </c>
      <c r="F69" s="104" t="s">
        <v>143</v>
      </c>
      <c r="G69" s="104" t="s">
        <v>136</v>
      </c>
      <c r="H69" s="104" t="s">
        <v>134</v>
      </c>
      <c r="I69" s="105">
        <v>10</v>
      </c>
      <c r="J69" s="105">
        <v>1.25</v>
      </c>
      <c r="K69" s="105">
        <v>45.378903773857722</v>
      </c>
      <c r="L69" s="105">
        <v>8</v>
      </c>
      <c r="M69" s="105">
        <v>55.489999999999995</v>
      </c>
      <c r="N69" s="105">
        <v>47.87767850602372</v>
      </c>
      <c r="O69" s="105">
        <v>57.988774732165993</v>
      </c>
      <c r="P69" s="105">
        <v>49.284356231664233</v>
      </c>
      <c r="Q69" s="105">
        <v>50.937409376880254</v>
      </c>
      <c r="R69" s="105">
        <v>57.165541522243572</v>
      </c>
      <c r="S69" s="105">
        <v>62.146486783687521</v>
      </c>
      <c r="T69" s="105">
        <v>67.876496495682332</v>
      </c>
      <c r="U69" s="105">
        <v>68.209312621340644</v>
      </c>
      <c r="V69" s="105">
        <v>66.117629574796752</v>
      </c>
      <c r="W69" s="105">
        <v>64.01235764021132</v>
      </c>
      <c r="X69" s="105">
        <v>52.879330540840989</v>
      </c>
      <c r="Y69" s="105">
        <v>55.375274158383192</v>
      </c>
      <c r="Z69" s="105">
        <v>61.133992425564102</v>
      </c>
      <c r="AA69" s="105">
        <v>70.122733063060991</v>
      </c>
      <c r="AB69" s="105">
        <v>78.095748000153478</v>
      </c>
      <c r="AC69" s="105">
        <v>77.838901956028224</v>
      </c>
      <c r="AD69" s="105">
        <v>78.139657962791674</v>
      </c>
      <c r="AE69" s="105">
        <v>72.872762115827243</v>
      </c>
      <c r="AF69" s="106" t="s">
        <v>81</v>
      </c>
    </row>
    <row r="70" spans="2:32">
      <c r="B70" s="107" t="s">
        <v>481</v>
      </c>
      <c r="C70" s="102">
        <v>84.744061397965694</v>
      </c>
      <c r="D70" s="102">
        <v>89.280510060610126</v>
      </c>
      <c r="E70" s="103">
        <v>0.05</v>
      </c>
      <c r="F70" s="104" t="s">
        <v>144</v>
      </c>
      <c r="G70" s="104" t="s">
        <v>136</v>
      </c>
      <c r="H70" s="104" t="s">
        <v>139</v>
      </c>
      <c r="I70" s="105">
        <v>10</v>
      </c>
      <c r="J70" s="105">
        <v>1.4</v>
      </c>
      <c r="K70" s="105">
        <v>56.762262714384548</v>
      </c>
      <c r="L70" s="105">
        <v>5.5</v>
      </c>
      <c r="M70" s="105">
        <v>61.298711377028972</v>
      </c>
      <c r="N70" s="105">
        <v>59.261037446550546</v>
      </c>
      <c r="O70" s="105">
        <v>63.797486109194978</v>
      </c>
      <c r="P70" s="105">
        <v>63.525845712596279</v>
      </c>
      <c r="Q70" s="105">
        <v>62.612071252081442</v>
      </c>
      <c r="R70" s="105">
        <v>67.061433161709076</v>
      </c>
      <c r="S70" s="105">
        <v>78.163740522810542</v>
      </c>
      <c r="T70" s="105">
        <v>80.759697635514044</v>
      </c>
      <c r="U70" s="105">
        <v>79.477238610147097</v>
      </c>
      <c r="V70" s="105">
        <v>71.515603847744075</v>
      </c>
      <c r="W70" s="105">
        <v>61.757533421785659</v>
      </c>
      <c r="X70" s="105">
        <v>65.331370199418359</v>
      </c>
      <c r="Y70" s="105">
        <v>65.879627581257239</v>
      </c>
      <c r="Z70" s="105">
        <v>71.108942575834419</v>
      </c>
      <c r="AA70" s="105">
        <v>82.159929866341344</v>
      </c>
      <c r="AB70" s="105">
        <v>85.901467205751402</v>
      </c>
      <c r="AC70" s="105">
        <v>83.423492121007769</v>
      </c>
      <c r="AD70" s="105">
        <v>76.353593009622159</v>
      </c>
      <c r="AE70" s="105">
        <v>69.045048050588093</v>
      </c>
      <c r="AF70" s="106" t="s">
        <v>265</v>
      </c>
    </row>
    <row r="71" spans="2:32">
      <c r="B71" s="107" t="s">
        <v>482</v>
      </c>
      <c r="C71" s="102">
        <v>94.913569477471768</v>
      </c>
      <c r="D71" s="102">
        <v>101.15324776465903</v>
      </c>
      <c r="E71" s="103">
        <v>0.05</v>
      </c>
      <c r="F71" s="104" t="s">
        <v>144</v>
      </c>
      <c r="G71" s="104" t="s">
        <v>137</v>
      </c>
      <c r="H71" s="104" t="s">
        <v>140</v>
      </c>
      <c r="I71" s="105">
        <v>10</v>
      </c>
      <c r="J71" s="105">
        <v>1.2142857142857144</v>
      </c>
      <c r="K71" s="105">
        <v>66.931770793890607</v>
      </c>
      <c r="L71" s="105">
        <v>8.5</v>
      </c>
      <c r="M71" s="105">
        <v>73.171449081077895</v>
      </c>
      <c r="N71" s="105">
        <v>69.430545526056605</v>
      </c>
      <c r="O71" s="105">
        <v>75.670223813243894</v>
      </c>
      <c r="P71" s="105">
        <v>62.30710246462651</v>
      </c>
      <c r="Q71" s="105">
        <v>65.289399543336273</v>
      </c>
      <c r="R71" s="105">
        <v>73.067636096595535</v>
      </c>
      <c r="S71" s="105">
        <v>88.872798239145894</v>
      </c>
      <c r="T71" s="105">
        <v>91.304106310766699</v>
      </c>
      <c r="U71" s="105">
        <v>89.090073712008973</v>
      </c>
      <c r="V71" s="105">
        <v>80.202220598919055</v>
      </c>
      <c r="W71" s="105">
        <v>75.709934526644702</v>
      </c>
      <c r="X71" s="105">
        <v>64.9471057503346</v>
      </c>
      <c r="Y71" s="105">
        <v>69.502735698371936</v>
      </c>
      <c r="Z71" s="105">
        <v>79.087567128194621</v>
      </c>
      <c r="AA71" s="105">
        <v>95.526340393030637</v>
      </c>
      <c r="AB71" s="105">
        <v>96.828540513741117</v>
      </c>
      <c r="AC71" s="105">
        <v>95.740605123109304</v>
      </c>
      <c r="AD71" s="105">
        <v>87.481123616053537</v>
      </c>
      <c r="AE71" s="105">
        <v>82.0431816502103</v>
      </c>
      <c r="AF71" s="106" t="s">
        <v>266</v>
      </c>
    </row>
    <row r="72" spans="2:32">
      <c r="B72" s="107" t="s">
        <v>442</v>
      </c>
      <c r="C72" s="102">
        <v>76.465580292499993</v>
      </c>
      <c r="D72" s="102">
        <v>86.592098640220939</v>
      </c>
      <c r="E72" s="103">
        <v>0.05</v>
      </c>
      <c r="F72" s="104" t="s">
        <v>145</v>
      </c>
      <c r="G72" s="104" t="s">
        <v>136</v>
      </c>
      <c r="H72" s="104" t="s">
        <v>134</v>
      </c>
      <c r="I72" s="105">
        <v>10</v>
      </c>
      <c r="J72" s="105">
        <v>1.4285714285714286</v>
      </c>
      <c r="K72" s="105">
        <v>48.47348165227902</v>
      </c>
      <c r="L72" s="105">
        <v>7</v>
      </c>
      <c r="M72" s="105">
        <v>58.599999999999987</v>
      </c>
      <c r="N72" s="105">
        <v>50.972256384445018</v>
      </c>
      <c r="O72" s="105">
        <v>61.098774732165985</v>
      </c>
      <c r="P72" s="105">
        <v>50.311004728165862</v>
      </c>
      <c r="Q72" s="105">
        <v>56.875307592939734</v>
      </c>
      <c r="R72" s="105">
        <v>63.347022026106217</v>
      </c>
      <c r="S72" s="105">
        <v>70.620498261926869</v>
      </c>
      <c r="T72" s="105">
        <v>70.782440137839103</v>
      </c>
      <c r="U72" s="105">
        <v>69.689258234358263</v>
      </c>
      <c r="V72" s="105">
        <v>68.110087661114676</v>
      </c>
      <c r="W72" s="105">
        <v>63.558436732621139</v>
      </c>
      <c r="X72" s="105">
        <v>53.184399271984262</v>
      </c>
      <c r="Y72" s="105">
        <v>66.997610680097978</v>
      </c>
      <c r="Z72" s="105">
        <v>74.180970117364211</v>
      </c>
      <c r="AA72" s="105">
        <v>80.74298194742434</v>
      </c>
      <c r="AB72" s="105">
        <v>79.225273222410436</v>
      </c>
      <c r="AC72" s="105">
        <v>80.08271491067849</v>
      </c>
      <c r="AD72" s="105">
        <v>79.58596402751661</v>
      </c>
      <c r="AE72" s="105">
        <v>74.419929613829197</v>
      </c>
      <c r="AF72" s="106" t="s">
        <v>82</v>
      </c>
    </row>
    <row r="73" spans="2:32">
      <c r="B73" s="107" t="s">
        <v>456</v>
      </c>
      <c r="C73" s="102">
        <v>92.510478286382764</v>
      </c>
      <c r="D73" s="102">
        <v>96.937098640220967</v>
      </c>
      <c r="E73" s="103">
        <v>0.05</v>
      </c>
      <c r="F73" s="104" t="s">
        <v>145</v>
      </c>
      <c r="G73" s="104" t="s">
        <v>137</v>
      </c>
      <c r="H73" s="104" t="s">
        <v>134</v>
      </c>
      <c r="I73" s="105">
        <v>10</v>
      </c>
      <c r="J73" s="105">
        <v>1.3392857142857144</v>
      </c>
      <c r="K73" s="105">
        <v>64.518379646161804</v>
      </c>
      <c r="L73" s="105">
        <v>7.5</v>
      </c>
      <c r="M73" s="105">
        <v>68.944999999999993</v>
      </c>
      <c r="N73" s="105">
        <v>67.017154378327803</v>
      </c>
      <c r="O73" s="105">
        <v>71.443774732165991</v>
      </c>
      <c r="P73" s="105">
        <v>67.342953104278052</v>
      </c>
      <c r="Q73" s="105">
        <v>75.0591738726323</v>
      </c>
      <c r="R73" s="105">
        <v>81.350287300912655</v>
      </c>
      <c r="S73" s="105">
        <v>88.252454330854633</v>
      </c>
      <c r="T73" s="105">
        <v>87.087188523647896</v>
      </c>
      <c r="U73" s="105">
        <v>85.594226796387375</v>
      </c>
      <c r="V73" s="105">
        <v>77.86649398847679</v>
      </c>
      <c r="W73" s="105">
        <v>66.788520549805739</v>
      </c>
      <c r="X73" s="105">
        <v>68.416046183463322</v>
      </c>
      <c r="Y73" s="105">
        <v>77.723678575892421</v>
      </c>
      <c r="Z73" s="105">
        <v>85.085425991719063</v>
      </c>
      <c r="AA73" s="105">
        <v>93.219963880464832</v>
      </c>
      <c r="AB73" s="105">
        <v>90.97536418620578</v>
      </c>
      <c r="AC73" s="105">
        <v>89.728253940141997</v>
      </c>
      <c r="AD73" s="105">
        <v>82.61399685072324</v>
      </c>
      <c r="AE73" s="105">
        <v>71.175886977037749</v>
      </c>
      <c r="AF73" s="106" t="s">
        <v>82</v>
      </c>
    </row>
    <row r="74" spans="2:32">
      <c r="B74" s="107" t="s">
        <v>443</v>
      </c>
      <c r="C74" s="102">
        <v>74.563692337356969</v>
      </c>
      <c r="D74" s="102">
        <v>83.222098640220963</v>
      </c>
      <c r="E74" s="103">
        <v>0.05</v>
      </c>
      <c r="F74" s="104" t="s">
        <v>145</v>
      </c>
      <c r="G74" s="104" t="s">
        <v>136</v>
      </c>
      <c r="H74" s="104" t="s">
        <v>134</v>
      </c>
      <c r="I74" s="105">
        <v>10</v>
      </c>
      <c r="J74" s="105">
        <v>1.4285714285714286</v>
      </c>
      <c r="K74" s="105">
        <v>46.571593697135995</v>
      </c>
      <c r="L74" s="105">
        <v>7</v>
      </c>
      <c r="M74" s="105">
        <v>55.23</v>
      </c>
      <c r="N74" s="105">
        <v>49.070368429301993</v>
      </c>
      <c r="O74" s="105">
        <v>57.728774732165995</v>
      </c>
      <c r="P74" s="105">
        <v>51.805733224237898</v>
      </c>
      <c r="Q74" s="105">
        <v>54.157885556506201</v>
      </c>
      <c r="R74" s="105">
        <v>62.477076929228787</v>
      </c>
      <c r="S74" s="105">
        <v>66.970210410527898</v>
      </c>
      <c r="T74" s="105">
        <v>69.271386991698492</v>
      </c>
      <c r="U74" s="105">
        <v>68.250855432055673</v>
      </c>
      <c r="V74" s="105">
        <v>67.747564479957205</v>
      </c>
      <c r="W74" s="105">
        <v>55.417167080787152</v>
      </c>
      <c r="X74" s="105">
        <v>55.298024678811409</v>
      </c>
      <c r="Y74" s="105">
        <v>59.495237783120963</v>
      </c>
      <c r="Z74" s="105">
        <v>67.701783791969689</v>
      </c>
      <c r="AA74" s="105">
        <v>71.231926641702273</v>
      </c>
      <c r="AB74" s="105">
        <v>73.027449716217177</v>
      </c>
      <c r="AC74" s="105">
        <v>78.087646150842133</v>
      </c>
      <c r="AD74" s="105">
        <v>79.765923438227048</v>
      </c>
      <c r="AE74" s="105">
        <v>63.711188425360916</v>
      </c>
      <c r="AF74" s="106" t="s">
        <v>83</v>
      </c>
    </row>
    <row r="75" spans="2:32">
      <c r="B75" s="107" t="s">
        <v>457</v>
      </c>
      <c r="C75" s="102">
        <v>84.59203721475501</v>
      </c>
      <c r="D75" s="102">
        <v>91.727098640220959</v>
      </c>
      <c r="E75" s="103">
        <v>0.05</v>
      </c>
      <c r="F75" s="104" t="s">
        <v>145</v>
      </c>
      <c r="G75" s="104" t="s">
        <v>137</v>
      </c>
      <c r="H75" s="104" t="s">
        <v>134</v>
      </c>
      <c r="I75" s="105">
        <v>10</v>
      </c>
      <c r="J75" s="105">
        <v>1.4285714285714286</v>
      </c>
      <c r="K75" s="105">
        <v>56.599938574534036</v>
      </c>
      <c r="L75" s="105">
        <v>7</v>
      </c>
      <c r="M75" s="105">
        <v>63.734999999999999</v>
      </c>
      <c r="N75" s="105">
        <v>59.098713306700034</v>
      </c>
      <c r="O75" s="105">
        <v>66.233774732165998</v>
      </c>
      <c r="P75" s="105">
        <v>61.162134278447446</v>
      </c>
      <c r="Q75" s="105">
        <v>60.999618995909024</v>
      </c>
      <c r="R75" s="105">
        <v>67.526562348127001</v>
      </c>
      <c r="S75" s="105">
        <v>75.221904171756989</v>
      </c>
      <c r="T75" s="105">
        <v>77.307668384017788</v>
      </c>
      <c r="U75" s="105">
        <v>80.253630255996313</v>
      </c>
      <c r="V75" s="105">
        <v>79.236812553067892</v>
      </c>
      <c r="W75" s="105">
        <v>64.272122615764118</v>
      </c>
      <c r="X75" s="105">
        <v>64.137150189283091</v>
      </c>
      <c r="Y75" s="105">
        <v>65.26608870875026</v>
      </c>
      <c r="Z75" s="105">
        <v>70.627170862866222</v>
      </c>
      <c r="AA75" s="105">
        <v>79.902378014136204</v>
      </c>
      <c r="AB75" s="105">
        <v>81.443479614031332</v>
      </c>
      <c r="AC75" s="105">
        <v>87.327120432090197</v>
      </c>
      <c r="AD75" s="105">
        <v>87.629648412745368</v>
      </c>
      <c r="AE75" s="105">
        <v>71.963612913686177</v>
      </c>
      <c r="AF75" s="106" t="s">
        <v>83</v>
      </c>
    </row>
    <row r="76" spans="2:32">
      <c r="B76" s="107" t="s">
        <v>483</v>
      </c>
      <c r="C76" s="102">
        <v>85.655032467499851</v>
      </c>
      <c r="D76" s="102">
        <v>95.696808367807392</v>
      </c>
      <c r="E76" s="103">
        <v>0.05</v>
      </c>
      <c r="F76" s="104" t="s">
        <v>146</v>
      </c>
      <c r="G76" s="104" t="s">
        <v>136</v>
      </c>
      <c r="H76" s="104" t="s">
        <v>139</v>
      </c>
      <c r="I76" s="105">
        <v>10</v>
      </c>
      <c r="J76" s="105">
        <v>1.3392857142857144</v>
      </c>
      <c r="K76" s="105">
        <v>57.67323378391869</v>
      </c>
      <c r="L76" s="105">
        <v>7.5</v>
      </c>
      <c r="M76" s="105">
        <v>67.71500968422626</v>
      </c>
      <c r="N76" s="105">
        <v>60.172008516084702</v>
      </c>
      <c r="O76" s="105">
        <v>70.213784416392258</v>
      </c>
      <c r="P76" s="105">
        <v>62.651640923759935</v>
      </c>
      <c r="Q76" s="105">
        <v>67.833225249172003</v>
      </c>
      <c r="R76" s="105">
        <v>68.124513085765017</v>
      </c>
      <c r="S76" s="105">
        <v>77.898064452981501</v>
      </c>
      <c r="T76" s="105">
        <v>79.523280175085546</v>
      </c>
      <c r="U76" s="105">
        <v>81.227151840102067</v>
      </c>
      <c r="V76" s="105">
        <v>78.292025014578286</v>
      </c>
      <c r="W76" s="105">
        <v>62.853046749243219</v>
      </c>
      <c r="X76" s="105">
        <v>65.775654626793866</v>
      </c>
      <c r="Y76" s="105">
        <v>69.993168628579099</v>
      </c>
      <c r="Z76" s="105">
        <v>72.867548535538504</v>
      </c>
      <c r="AA76" s="105">
        <v>83.916147189782379</v>
      </c>
      <c r="AB76" s="105">
        <v>85.075575837304996</v>
      </c>
      <c r="AC76" s="105">
        <v>92.804801693004066</v>
      </c>
      <c r="AD76" s="105">
        <v>90.690880611260781</v>
      </c>
      <c r="AE76" s="105">
        <v>72.875672466837102</v>
      </c>
      <c r="AF76" s="106" t="s">
        <v>84</v>
      </c>
    </row>
    <row r="77" spans="2:32">
      <c r="B77" s="107" t="s">
        <v>484</v>
      </c>
      <c r="C77" s="102">
        <v>97.042369163098172</v>
      </c>
      <c r="D77" s="102">
        <v>105.72090276871916</v>
      </c>
      <c r="E77" s="103">
        <v>0.05</v>
      </c>
      <c r="F77" s="104" t="s">
        <v>146</v>
      </c>
      <c r="G77" s="104" t="s">
        <v>137</v>
      </c>
      <c r="H77" s="104" t="s">
        <v>140</v>
      </c>
      <c r="I77" s="105">
        <v>10</v>
      </c>
      <c r="J77" s="105">
        <v>1.1805555555555556</v>
      </c>
      <c r="K77" s="105">
        <v>69.060570479517025</v>
      </c>
      <c r="L77" s="105">
        <v>8.5</v>
      </c>
      <c r="M77" s="105">
        <v>77.739104085137996</v>
      </c>
      <c r="N77" s="105">
        <v>71.559345211683024</v>
      </c>
      <c r="O77" s="105">
        <v>80.237878817303994</v>
      </c>
      <c r="P77" s="105">
        <v>64.314503585253476</v>
      </c>
      <c r="Q77" s="105">
        <v>67.654574676085829</v>
      </c>
      <c r="R77" s="105">
        <v>73.06717028106155</v>
      </c>
      <c r="S77" s="105">
        <v>86.373799775564649</v>
      </c>
      <c r="T77" s="105">
        <v>89.138121175733559</v>
      </c>
      <c r="U77" s="105">
        <v>93.557629919708717</v>
      </c>
      <c r="V77" s="105">
        <v>91.621195031570323</v>
      </c>
      <c r="W77" s="105">
        <v>77.57325130050711</v>
      </c>
      <c r="X77" s="105">
        <v>67.43612863227429</v>
      </c>
      <c r="Y77" s="105">
        <v>73.383826290463674</v>
      </c>
      <c r="Z77" s="105">
        <v>78.507648704764676</v>
      </c>
      <c r="AA77" s="105">
        <v>90.838893826434742</v>
      </c>
      <c r="AB77" s="105">
        <v>94.124563964589015</v>
      </c>
      <c r="AC77" s="105">
        <v>102.78987082113798</v>
      </c>
      <c r="AD77" s="105">
        <v>101.44235023206878</v>
      </c>
      <c r="AE77" s="105">
        <v>84.882476758425625</v>
      </c>
      <c r="AF77" s="106" t="s">
        <v>85</v>
      </c>
    </row>
    <row r="78" spans="2:32">
      <c r="B78" s="107" t="s">
        <v>444</v>
      </c>
      <c r="C78" s="102">
        <v>97.293250378185533</v>
      </c>
      <c r="D78" s="102">
        <v>100.97709864022096</v>
      </c>
      <c r="E78" s="103">
        <v>0.05</v>
      </c>
      <c r="F78" s="104" t="s">
        <v>147</v>
      </c>
      <c r="G78" s="104" t="s">
        <v>137</v>
      </c>
      <c r="H78" s="104" t="s">
        <v>134</v>
      </c>
      <c r="I78" s="105">
        <v>10</v>
      </c>
      <c r="J78" s="105">
        <v>1.5476190476190477</v>
      </c>
      <c r="K78" s="105">
        <v>69.30115173796456</v>
      </c>
      <c r="L78" s="105">
        <v>6.5</v>
      </c>
      <c r="M78" s="105">
        <v>72.984999999999985</v>
      </c>
      <c r="N78" s="105">
        <v>71.799926470130572</v>
      </c>
      <c r="O78" s="105">
        <v>75.483774732165983</v>
      </c>
      <c r="P78" s="105">
        <v>62.36916001649378</v>
      </c>
      <c r="Q78" s="105">
        <v>63.525632194014491</v>
      </c>
      <c r="R78" s="105">
        <v>73.336832116180275</v>
      </c>
      <c r="S78" s="105">
        <v>79.684591719827722</v>
      </c>
      <c r="T78" s="105">
        <v>90.264226797657784</v>
      </c>
      <c r="U78" s="105">
        <v>93.534702286116811</v>
      </c>
      <c r="V78" s="105">
        <v>92.40249735096117</v>
      </c>
      <c r="W78" s="105">
        <v>82.677182645409189</v>
      </c>
      <c r="X78" s="105">
        <v>64.123481806525717</v>
      </c>
      <c r="Y78" s="105">
        <v>66.699309154583574</v>
      </c>
      <c r="Z78" s="105">
        <v>75.980176964567008</v>
      </c>
      <c r="AA78" s="105">
        <v>82.283687019911895</v>
      </c>
      <c r="AB78" s="105">
        <v>93.116410793103967</v>
      </c>
      <c r="AC78" s="105">
        <v>97.648560040875495</v>
      </c>
      <c r="AD78" s="105">
        <v>95.982578601163056</v>
      </c>
      <c r="AE78" s="105">
        <v>86.337418667623382</v>
      </c>
      <c r="AF78" s="106" t="s">
        <v>86</v>
      </c>
    </row>
    <row r="79" spans="2:32">
      <c r="B79" s="107" t="s">
        <v>458</v>
      </c>
      <c r="C79" s="102">
        <v>96.206212564000253</v>
      </c>
      <c r="D79" s="102">
        <v>100.88709864022096</v>
      </c>
      <c r="E79" s="103">
        <v>0.05</v>
      </c>
      <c r="F79" s="104" t="s">
        <v>147</v>
      </c>
      <c r="G79" s="104" t="s">
        <v>136</v>
      </c>
      <c r="H79" s="104" t="s">
        <v>134</v>
      </c>
      <c r="I79" s="105">
        <v>10</v>
      </c>
      <c r="J79" s="105">
        <v>1.1688311688311688</v>
      </c>
      <c r="K79" s="105">
        <v>68.21411392377928</v>
      </c>
      <c r="L79" s="105">
        <v>9</v>
      </c>
      <c r="M79" s="105">
        <v>72.89500000000001</v>
      </c>
      <c r="N79" s="105">
        <v>70.712888655945278</v>
      </c>
      <c r="O79" s="105">
        <v>75.393774732166008</v>
      </c>
      <c r="P79" s="105">
        <v>52.867250337415797</v>
      </c>
      <c r="Q79" s="105">
        <v>58.965841910590356</v>
      </c>
      <c r="R79" s="105">
        <v>68.788153984133487</v>
      </c>
      <c r="S79" s="105">
        <v>76.366744382561805</v>
      </c>
      <c r="T79" s="105">
        <v>88.080883933110613</v>
      </c>
      <c r="U79" s="105">
        <v>92.012316192153975</v>
      </c>
      <c r="V79" s="105">
        <v>92.195499158636252</v>
      </c>
      <c r="W79" s="105">
        <v>83.668252450200228</v>
      </c>
      <c r="X79" s="105">
        <v>59.099732174074965</v>
      </c>
      <c r="Y79" s="105">
        <v>66.691342103592518</v>
      </c>
      <c r="Z79" s="105">
        <v>72.567559743776826</v>
      </c>
      <c r="AA79" s="105">
        <v>81.066972180071772</v>
      </c>
      <c r="AB79" s="105">
        <v>91.80703975649493</v>
      </c>
      <c r="AC79" s="105">
        <v>96.174207525252356</v>
      </c>
      <c r="AD79" s="105">
        <v>97.492719795009066</v>
      </c>
      <c r="AE79" s="105">
        <v>89.211793014271478</v>
      </c>
      <c r="AF79" s="106" t="s">
        <v>87</v>
      </c>
    </row>
    <row r="80" spans="2:32">
      <c r="B80" s="107" t="s">
        <v>445</v>
      </c>
      <c r="C80" s="102">
        <v>99.63421709471227</v>
      </c>
      <c r="D80" s="102">
        <v>104.41709864022098</v>
      </c>
      <c r="E80" s="103">
        <v>0.05</v>
      </c>
      <c r="F80" s="104" t="s">
        <v>147</v>
      </c>
      <c r="G80" s="104" t="s">
        <v>137</v>
      </c>
      <c r="H80" s="104" t="s">
        <v>134</v>
      </c>
      <c r="I80" s="105">
        <v>10</v>
      </c>
      <c r="J80" s="105">
        <v>1.3392857142857144</v>
      </c>
      <c r="K80" s="105">
        <v>71.64211845449131</v>
      </c>
      <c r="L80" s="105">
        <v>7.5</v>
      </c>
      <c r="M80" s="105">
        <v>76.425000000000011</v>
      </c>
      <c r="N80" s="105">
        <v>74.140893186657308</v>
      </c>
      <c r="O80" s="105">
        <v>78.923774732166009</v>
      </c>
      <c r="P80" s="105">
        <v>61.168256434696964</v>
      </c>
      <c r="Q80" s="105">
        <v>62.814326302842083</v>
      </c>
      <c r="R80" s="105">
        <v>71.54639303837132</v>
      </c>
      <c r="S80" s="105">
        <v>79.432044955832581</v>
      </c>
      <c r="T80" s="105">
        <v>91.50081828996943</v>
      </c>
      <c r="U80" s="105">
        <v>95.822828812309012</v>
      </c>
      <c r="V80" s="105">
        <v>95.392065591178223</v>
      </c>
      <c r="W80" s="105">
        <v>85.924366362972165</v>
      </c>
      <c r="X80" s="105">
        <v>63.753434066144429</v>
      </c>
      <c r="Y80" s="105">
        <v>66.600649549918387</v>
      </c>
      <c r="Z80" s="105">
        <v>74.526311027262153</v>
      </c>
      <c r="AA80" s="105">
        <v>82.490750242595567</v>
      </c>
      <c r="AB80" s="105">
        <v>95.32573571564923</v>
      </c>
      <c r="AC80" s="105">
        <v>101.00498579092833</v>
      </c>
      <c r="AD80" s="105">
        <v>99.873018139799029</v>
      </c>
      <c r="AE80" s="105">
        <v>91.163588240918926</v>
      </c>
      <c r="AF80" s="106" t="s">
        <v>87</v>
      </c>
    </row>
    <row r="81" spans="2:32">
      <c r="B81" s="107" t="s">
        <v>462</v>
      </c>
      <c r="C81" s="102">
        <v>92.320655932089295</v>
      </c>
      <c r="D81" s="102">
        <v>97.477098640220959</v>
      </c>
      <c r="E81" s="103">
        <v>0.05</v>
      </c>
      <c r="F81" s="104" t="s">
        <v>147</v>
      </c>
      <c r="G81" s="104" t="s">
        <v>136</v>
      </c>
      <c r="H81" s="104" t="s">
        <v>134</v>
      </c>
      <c r="I81" s="105">
        <v>10</v>
      </c>
      <c r="J81" s="105">
        <v>1.3392857142857144</v>
      </c>
      <c r="K81" s="105">
        <v>64.328557291868321</v>
      </c>
      <c r="L81" s="105">
        <v>7.5</v>
      </c>
      <c r="M81" s="105">
        <v>69.484999999999999</v>
      </c>
      <c r="N81" s="105">
        <v>66.82733202403432</v>
      </c>
      <c r="O81" s="105">
        <v>71.983774732165998</v>
      </c>
      <c r="P81" s="105">
        <v>52.187562994513556</v>
      </c>
      <c r="Q81" s="105">
        <v>57.690515362976271</v>
      </c>
      <c r="R81" s="105">
        <v>67.972338751471511</v>
      </c>
      <c r="S81" s="105">
        <v>74.365146261656918</v>
      </c>
      <c r="T81" s="105">
        <v>85.182028216424769</v>
      </c>
      <c r="U81" s="105">
        <v>88.137575136414597</v>
      </c>
      <c r="V81" s="105">
        <v>87.885660253766332</v>
      </c>
      <c r="W81" s="105">
        <v>78.831194766825234</v>
      </c>
      <c r="X81" s="105">
        <v>55.48349208122626</v>
      </c>
      <c r="Y81" s="105">
        <v>63.009478882761407</v>
      </c>
      <c r="Z81" s="105">
        <v>71.489125641569899</v>
      </c>
      <c r="AA81" s="105">
        <v>79.482769631119851</v>
      </c>
      <c r="AB81" s="105">
        <v>89.383144018729595</v>
      </c>
      <c r="AC81" s="105">
        <v>93.619351554241177</v>
      </c>
      <c r="AD81" s="105">
        <v>93.060875933376224</v>
      </c>
      <c r="AE81" s="105">
        <v>84.146788684953108</v>
      </c>
      <c r="AF81" s="106" t="s">
        <v>86</v>
      </c>
    </row>
    <row r="82" spans="2:32">
      <c r="B82" s="107" t="s">
        <v>524</v>
      </c>
      <c r="C82" s="102">
        <v>87.520031845263176</v>
      </c>
      <c r="D82" s="102">
        <v>97.015392053710315</v>
      </c>
      <c r="E82" s="103">
        <v>0.05</v>
      </c>
      <c r="F82" s="104" t="s">
        <v>166</v>
      </c>
      <c r="G82" s="104" t="s">
        <v>136</v>
      </c>
      <c r="H82" s="104" t="s">
        <v>139</v>
      </c>
      <c r="I82" s="105">
        <v>10</v>
      </c>
      <c r="J82" s="105">
        <v>1.3392857142857144</v>
      </c>
      <c r="K82" s="105">
        <v>59.53823316168203</v>
      </c>
      <c r="L82" s="105">
        <v>7.5</v>
      </c>
      <c r="M82" s="105">
        <v>69.033593370129154</v>
      </c>
      <c r="N82" s="105">
        <v>62.037007893848028</v>
      </c>
      <c r="O82" s="105">
        <v>71.532368102295152</v>
      </c>
      <c r="P82" s="105">
        <v>61.335256633425992</v>
      </c>
      <c r="Q82" s="105">
        <v>61.406861079765065</v>
      </c>
      <c r="R82" s="105">
        <v>65.35440975599461</v>
      </c>
      <c r="S82" s="105">
        <v>73.486787653979974</v>
      </c>
      <c r="T82" s="105">
        <v>80.676202929522077</v>
      </c>
      <c r="U82" s="105">
        <v>83.150135040319398</v>
      </c>
      <c r="V82" s="105">
        <v>82.412779000515997</v>
      </c>
      <c r="W82" s="105">
        <v>75.88427174763828</v>
      </c>
      <c r="X82" s="105">
        <v>64.396500506856427</v>
      </c>
      <c r="Y82" s="105">
        <v>64.847427616664021</v>
      </c>
      <c r="Z82" s="105">
        <v>72.772193129942082</v>
      </c>
      <c r="AA82" s="105">
        <v>80.282424299091076</v>
      </c>
      <c r="AB82" s="105">
        <v>88.910778785540003</v>
      </c>
      <c r="AC82" s="105">
        <v>93.074426294693637</v>
      </c>
      <c r="AD82" s="105">
        <v>92.028336277771956</v>
      </c>
      <c r="AE82" s="105">
        <v>86.142821488082035</v>
      </c>
      <c r="AF82" s="106" t="s">
        <v>113</v>
      </c>
    </row>
    <row r="83" spans="2:32">
      <c r="B83" s="107" t="s">
        <v>485</v>
      </c>
      <c r="C83" s="102">
        <v>95.00042300378351</v>
      </c>
      <c r="D83" s="102">
        <v>100.12226882810715</v>
      </c>
      <c r="E83" s="103">
        <v>0.05</v>
      </c>
      <c r="F83" s="104" t="s">
        <v>166</v>
      </c>
      <c r="G83" s="104" t="s">
        <v>137</v>
      </c>
      <c r="H83" s="104" t="s">
        <v>140</v>
      </c>
      <c r="I83" s="105">
        <v>10</v>
      </c>
      <c r="J83" s="105">
        <v>1.25</v>
      </c>
      <c r="K83" s="105">
        <v>67.018624320202363</v>
      </c>
      <c r="L83" s="105">
        <v>8</v>
      </c>
      <c r="M83" s="105">
        <v>72.140470144526006</v>
      </c>
      <c r="N83" s="105">
        <v>69.517399052368361</v>
      </c>
      <c r="O83" s="105">
        <v>74.639244876692004</v>
      </c>
      <c r="P83" s="105">
        <v>61.215801209747113</v>
      </c>
      <c r="Q83" s="105">
        <v>65.001447485737742</v>
      </c>
      <c r="R83" s="105">
        <v>70.793330178879501</v>
      </c>
      <c r="S83" s="105">
        <v>79.997616968503962</v>
      </c>
      <c r="T83" s="105">
        <v>88.522205417004329</v>
      </c>
      <c r="U83" s="105">
        <v>90.822375865243998</v>
      </c>
      <c r="V83" s="105">
        <v>89.311284315860576</v>
      </c>
      <c r="W83" s="105">
        <v>84.357615406761823</v>
      </c>
      <c r="X83" s="105">
        <v>65.46313142972943</v>
      </c>
      <c r="Y83" s="105">
        <v>71.684622414262662</v>
      </c>
      <c r="Z83" s="105">
        <v>77.93603162245843</v>
      </c>
      <c r="AA83" s="105">
        <v>85.731479638514386</v>
      </c>
      <c r="AB83" s="105">
        <v>93.090016750404246</v>
      </c>
      <c r="AC83" s="105">
        <v>95.750226922413816</v>
      </c>
      <c r="AD83" s="105">
        <v>94.755531822082361</v>
      </c>
      <c r="AE83" s="105">
        <v>89.8755060711308</v>
      </c>
      <c r="AF83" s="106" t="s">
        <v>114</v>
      </c>
    </row>
    <row r="84" spans="2:32">
      <c r="B84" s="107" t="s">
        <v>486</v>
      </c>
      <c r="C84" s="102">
        <v>94.34259228571716</v>
      </c>
      <c r="D84" s="102">
        <v>99.606429233339185</v>
      </c>
      <c r="E84" s="103">
        <v>0.05</v>
      </c>
      <c r="F84" s="104" t="s">
        <v>166</v>
      </c>
      <c r="G84" s="104" t="s">
        <v>137</v>
      </c>
      <c r="H84" s="104" t="s">
        <v>140</v>
      </c>
      <c r="I84" s="105">
        <v>10</v>
      </c>
      <c r="J84" s="105">
        <v>1.25</v>
      </c>
      <c r="K84" s="105">
        <v>66.360793602136013</v>
      </c>
      <c r="L84" s="105">
        <v>8</v>
      </c>
      <c r="M84" s="105">
        <v>71.624630549758038</v>
      </c>
      <c r="N84" s="105">
        <v>68.859568334302011</v>
      </c>
      <c r="O84" s="105">
        <v>74.123405281924036</v>
      </c>
      <c r="P84" s="105">
        <v>66.904474581280567</v>
      </c>
      <c r="Q84" s="105">
        <v>69.089898719731252</v>
      </c>
      <c r="R84" s="105">
        <v>73.656642923789349</v>
      </c>
      <c r="S84" s="105">
        <v>81.919954369402021</v>
      </c>
      <c r="T84" s="105">
        <v>87.407833072771766</v>
      </c>
      <c r="U84" s="105">
        <v>89.416352252692377</v>
      </c>
      <c r="V84" s="105">
        <v>88.937530621628028</v>
      </c>
      <c r="W84" s="105">
        <v>85.030796574209248</v>
      </c>
      <c r="X84" s="105">
        <v>72.708649637463623</v>
      </c>
      <c r="Y84" s="105">
        <v>76.317480759158215</v>
      </c>
      <c r="Z84" s="105">
        <v>79.347651576917485</v>
      </c>
      <c r="AA84" s="105">
        <v>87.865097931999912</v>
      </c>
      <c r="AB84" s="105">
        <v>92.10753876684133</v>
      </c>
      <c r="AC84" s="105">
        <v>94.338182354500105</v>
      </c>
      <c r="AD84" s="105">
        <v>94.609171441759997</v>
      </c>
      <c r="AE84" s="105">
        <v>90.074616046424893</v>
      </c>
      <c r="AF84" s="106" t="s">
        <v>115</v>
      </c>
    </row>
    <row r="85" spans="2:32">
      <c r="B85" s="107" t="s">
        <v>459</v>
      </c>
      <c r="C85" s="102">
        <v>89.511864144892769</v>
      </c>
      <c r="D85" s="102">
        <v>103.46389465087731</v>
      </c>
      <c r="E85" s="103">
        <v>0.05</v>
      </c>
      <c r="F85" s="104" t="s">
        <v>67</v>
      </c>
      <c r="G85" s="104" t="s">
        <v>181</v>
      </c>
      <c r="H85" s="104" t="s">
        <v>268</v>
      </c>
      <c r="I85" s="105">
        <v>13.4</v>
      </c>
      <c r="J85" s="105"/>
      <c r="K85" s="105">
        <v>61.987969494015459</v>
      </c>
      <c r="L85" s="105">
        <v>75.5</v>
      </c>
      <c r="M85" s="105">
        <v>75.94</v>
      </c>
      <c r="N85" s="105">
        <v>67.991004575916577</v>
      </c>
      <c r="O85" s="105">
        <v>80.980870699462145</v>
      </c>
      <c r="P85" s="105">
        <v>66.036279043287891</v>
      </c>
      <c r="Q85" s="105">
        <v>71.06223821597645</v>
      </c>
      <c r="R85" s="105">
        <v>77.270865617811126</v>
      </c>
      <c r="S85" s="105">
        <v>80.227448719543119</v>
      </c>
      <c r="T85" s="105">
        <v>83.686642681826243</v>
      </c>
      <c r="U85" s="105">
        <v>84.136634580685254</v>
      </c>
      <c r="V85" s="105">
        <v>82.800094836756614</v>
      </c>
      <c r="W85" s="105">
        <v>75.404855346702448</v>
      </c>
      <c r="X85" s="105"/>
      <c r="Y85" s="105"/>
      <c r="Z85" s="105"/>
      <c r="AA85" s="105"/>
      <c r="AB85" s="105"/>
      <c r="AC85" s="105"/>
      <c r="AD85" s="105"/>
      <c r="AE85" s="105"/>
      <c r="AF85" s="106" t="s">
        <v>267</v>
      </c>
    </row>
    <row r="86" spans="2:32">
      <c r="B86" s="107" t="s">
        <v>460</v>
      </c>
      <c r="C86" s="102">
        <v>90.808013437488512</v>
      </c>
      <c r="D86" s="102">
        <v>106.86389465087731</v>
      </c>
      <c r="E86" s="103">
        <v>0.25</v>
      </c>
      <c r="F86" s="104" t="s">
        <v>67</v>
      </c>
      <c r="G86" s="104" t="s">
        <v>181</v>
      </c>
      <c r="H86" s="104" t="s">
        <v>270</v>
      </c>
      <c r="I86" s="105">
        <v>13.4</v>
      </c>
      <c r="J86" s="105"/>
      <c r="K86" s="105">
        <v>63.284118786611216</v>
      </c>
      <c r="L86" s="105">
        <v>124</v>
      </c>
      <c r="M86" s="105">
        <v>79.34</v>
      </c>
      <c r="N86" s="105">
        <v>69.058550417426346</v>
      </c>
      <c r="O86" s="105">
        <v>84.38087069946215</v>
      </c>
      <c r="P86" s="105">
        <v>64.797246051872079</v>
      </c>
      <c r="Q86" s="105">
        <v>69.689107820994138</v>
      </c>
      <c r="R86" s="105">
        <v>77.18868644398367</v>
      </c>
      <c r="S86" s="105">
        <v>81.154007812285982</v>
      </c>
      <c r="T86" s="105">
        <v>86.132499163281693</v>
      </c>
      <c r="U86" s="105">
        <v>85.40054359150119</v>
      </c>
      <c r="V86" s="105">
        <v>83.452595616722903</v>
      </c>
      <c r="W86" s="105">
        <v>74.873390994025613</v>
      </c>
      <c r="X86" s="105"/>
      <c r="Y86" s="105"/>
      <c r="Z86" s="105"/>
      <c r="AA86" s="105"/>
      <c r="AB86" s="105"/>
      <c r="AC86" s="105"/>
      <c r="AD86" s="105"/>
      <c r="AE86" s="105"/>
      <c r="AF86" s="106" t="s">
        <v>269</v>
      </c>
    </row>
    <row r="87" spans="2:32">
      <c r="B87" s="107" t="s">
        <v>373</v>
      </c>
      <c r="C87" s="102">
        <v>90.2081147633764</v>
      </c>
      <c r="D87" s="102">
        <v>105.16389465087731</v>
      </c>
      <c r="E87" s="103">
        <v>0.2</v>
      </c>
      <c r="F87" s="104"/>
      <c r="G87" s="104"/>
      <c r="H87" s="104"/>
      <c r="I87" s="105">
        <v>13.4</v>
      </c>
      <c r="J87" s="105"/>
      <c r="K87" s="105">
        <v>62.684220112499091</v>
      </c>
      <c r="L87" s="105">
        <v>99.75</v>
      </c>
      <c r="M87" s="105">
        <v>77.64</v>
      </c>
      <c r="N87" s="105">
        <v>68.557497127022685</v>
      </c>
      <c r="O87" s="105">
        <v>82.680870699462147</v>
      </c>
      <c r="P87" s="105">
        <v>65.460800185860649</v>
      </c>
      <c r="Q87" s="105">
        <v>70.42971715020694</v>
      </c>
      <c r="R87" s="105">
        <v>77.229970406952702</v>
      </c>
      <c r="S87" s="105">
        <v>80.715391498283083</v>
      </c>
      <c r="T87" s="105">
        <v>85.079524402419878</v>
      </c>
      <c r="U87" s="105">
        <v>84.814406504439546</v>
      </c>
      <c r="V87" s="105">
        <v>83.138587997511749</v>
      </c>
      <c r="W87" s="105">
        <v>75.147247792617179</v>
      </c>
      <c r="X87" s="105"/>
      <c r="Y87" s="105"/>
      <c r="Z87" s="105"/>
      <c r="AA87" s="105"/>
      <c r="AB87" s="105"/>
      <c r="AC87" s="105"/>
      <c r="AD87" s="105"/>
      <c r="AE87" s="105"/>
      <c r="AF87" s="106" t="s">
        <v>271</v>
      </c>
    </row>
    <row r="88" spans="2:32">
      <c r="B88" s="107" t="s">
        <v>461</v>
      </c>
      <c r="C88" s="102">
        <v>84.306351867190756</v>
      </c>
      <c r="D88" s="102">
        <v>101.52389465087731</v>
      </c>
      <c r="E88" s="103">
        <v>0.05</v>
      </c>
      <c r="F88" s="104" t="s">
        <v>67</v>
      </c>
      <c r="G88" s="104" t="s">
        <v>181</v>
      </c>
      <c r="H88" s="104" t="s">
        <v>273</v>
      </c>
      <c r="I88" s="105">
        <v>13.4</v>
      </c>
      <c r="J88" s="105"/>
      <c r="K88" s="105">
        <v>56.78245721631346</v>
      </c>
      <c r="L88" s="105">
        <v>42.5</v>
      </c>
      <c r="M88" s="105">
        <v>74</v>
      </c>
      <c r="N88" s="105">
        <v>64.429445185305454</v>
      </c>
      <c r="O88" s="105">
        <v>79.040870699462147</v>
      </c>
      <c r="P88" s="105">
        <v>62.752389057830136</v>
      </c>
      <c r="Q88" s="105">
        <v>68.249870354886212</v>
      </c>
      <c r="R88" s="105">
        <v>73.066125591101127</v>
      </c>
      <c r="S88" s="105">
        <v>76.213745095622301</v>
      </c>
      <c r="T88" s="105">
        <v>79.174323742556069</v>
      </c>
      <c r="U88" s="105">
        <v>77.805538094406742</v>
      </c>
      <c r="V88" s="105">
        <v>76.968085603322933</v>
      </c>
      <c r="W88" s="105">
        <v>67.875296956253038</v>
      </c>
      <c r="X88" s="105"/>
      <c r="Y88" s="105"/>
      <c r="Z88" s="105"/>
      <c r="AA88" s="105"/>
      <c r="AB88" s="105"/>
      <c r="AC88" s="105"/>
      <c r="AD88" s="105"/>
      <c r="AE88" s="105"/>
      <c r="AF88" s="106" t="s">
        <v>273</v>
      </c>
    </row>
    <row r="89" spans="2:32">
      <c r="B89" s="107" t="s">
        <v>508</v>
      </c>
      <c r="C89" s="102">
        <v>94.124851259840085</v>
      </c>
      <c r="D89" s="102">
        <v>112.03960119941149</v>
      </c>
      <c r="E89" s="103">
        <v>0.25</v>
      </c>
      <c r="F89" s="104" t="s">
        <v>67</v>
      </c>
      <c r="G89" s="122" t="s">
        <v>342</v>
      </c>
      <c r="H89" s="104" t="s">
        <v>134</v>
      </c>
      <c r="I89" s="105" t="s">
        <v>185</v>
      </c>
      <c r="J89" s="105" t="s">
        <v>185</v>
      </c>
      <c r="K89" s="105" t="s">
        <v>185</v>
      </c>
      <c r="L89" s="105" t="s">
        <v>185</v>
      </c>
      <c r="M89" s="105"/>
      <c r="N89" s="105">
        <f t="shared" ref="N89:O91" si="0">C89-10 *LOG(2*PI()*7.5^2)</f>
        <v>68.641827308424936</v>
      </c>
      <c r="O89" s="105">
        <f t="shared" si="0"/>
        <v>86.556577247996344</v>
      </c>
      <c r="P89" s="105">
        <v>61</v>
      </c>
      <c r="Q89" s="105">
        <v>76</v>
      </c>
      <c r="R89" s="105">
        <v>88</v>
      </c>
      <c r="S89" s="105">
        <v>91</v>
      </c>
      <c r="T89" s="105">
        <v>87</v>
      </c>
      <c r="U89" s="105">
        <v>81</v>
      </c>
      <c r="V89" s="105">
        <v>74</v>
      </c>
      <c r="W89" s="105">
        <v>63</v>
      </c>
      <c r="X89" s="105">
        <v>90</v>
      </c>
      <c r="Y89" s="105">
        <v>98</v>
      </c>
      <c r="Z89" s="105">
        <v>106</v>
      </c>
      <c r="AA89" s="105">
        <v>108</v>
      </c>
      <c r="AB89" s="105">
        <v>105</v>
      </c>
      <c r="AC89" s="105">
        <v>101</v>
      </c>
      <c r="AD89" s="105">
        <v>97</v>
      </c>
      <c r="AE89" s="105">
        <v>87</v>
      </c>
      <c r="AF89" s="106" t="s">
        <v>347</v>
      </c>
    </row>
    <row r="90" spans="2:32">
      <c r="B90" s="107" t="s">
        <v>507</v>
      </c>
      <c r="C90" s="102">
        <v>92.882163607058573</v>
      </c>
      <c r="D90" s="102">
        <v>112.03960119941149</v>
      </c>
      <c r="E90" s="103">
        <v>0.15</v>
      </c>
      <c r="F90" s="104" t="s">
        <v>67</v>
      </c>
      <c r="G90" s="122" t="s">
        <v>342</v>
      </c>
      <c r="H90" s="104" t="s">
        <v>134</v>
      </c>
      <c r="I90" s="105" t="s">
        <v>185</v>
      </c>
      <c r="J90" s="105" t="s">
        <v>185</v>
      </c>
      <c r="K90" s="105" t="s">
        <v>185</v>
      </c>
      <c r="L90" s="105" t="s">
        <v>185</v>
      </c>
      <c r="M90" s="105"/>
      <c r="N90" s="105">
        <f t="shared" si="0"/>
        <v>67.399139655643424</v>
      </c>
      <c r="O90" s="105">
        <f t="shared" si="0"/>
        <v>86.556577247996344</v>
      </c>
      <c r="P90" s="105">
        <v>58</v>
      </c>
      <c r="Q90" s="105">
        <v>73</v>
      </c>
      <c r="R90" s="105">
        <v>85</v>
      </c>
      <c r="S90" s="105">
        <v>89</v>
      </c>
      <c r="T90" s="105">
        <v>87</v>
      </c>
      <c r="U90" s="105">
        <v>83</v>
      </c>
      <c r="V90" s="105">
        <v>80</v>
      </c>
      <c r="W90" s="105">
        <v>70</v>
      </c>
      <c r="X90" s="105">
        <v>90</v>
      </c>
      <c r="Y90" s="105">
        <v>98</v>
      </c>
      <c r="Z90" s="105">
        <v>106</v>
      </c>
      <c r="AA90" s="105">
        <v>108</v>
      </c>
      <c r="AB90" s="105">
        <v>105</v>
      </c>
      <c r="AC90" s="105">
        <v>101</v>
      </c>
      <c r="AD90" s="105">
        <v>97</v>
      </c>
      <c r="AE90" s="105">
        <v>87</v>
      </c>
      <c r="AF90" s="106" t="s">
        <v>348</v>
      </c>
    </row>
    <row r="91" spans="2:32">
      <c r="B91" s="107" t="s">
        <v>509</v>
      </c>
      <c r="C91" s="102">
        <v>93.936585819521113</v>
      </c>
      <c r="D91" s="102">
        <v>112.03960119941149</v>
      </c>
      <c r="E91" s="103">
        <v>0.4</v>
      </c>
      <c r="F91" s="104" t="s">
        <v>67</v>
      </c>
      <c r="G91" s="122" t="s">
        <v>342</v>
      </c>
      <c r="H91" s="104" t="s">
        <v>134</v>
      </c>
      <c r="I91" s="105" t="s">
        <v>185</v>
      </c>
      <c r="J91" s="105" t="s">
        <v>185</v>
      </c>
      <c r="K91" s="105" t="s">
        <v>185</v>
      </c>
      <c r="L91" s="105" t="s">
        <v>185</v>
      </c>
      <c r="M91" s="105"/>
      <c r="N91" s="105">
        <f t="shared" si="0"/>
        <v>68.453561868105965</v>
      </c>
      <c r="O91" s="105">
        <f t="shared" si="0"/>
        <v>86.556577247996344</v>
      </c>
      <c r="P91" s="105">
        <v>68</v>
      </c>
      <c r="Q91" s="105">
        <v>77</v>
      </c>
      <c r="R91" s="105">
        <v>88</v>
      </c>
      <c r="S91" s="105">
        <v>90</v>
      </c>
      <c r="T91" s="105">
        <v>87</v>
      </c>
      <c r="U91" s="105">
        <v>83</v>
      </c>
      <c r="V91" s="105">
        <v>79</v>
      </c>
      <c r="W91" s="105">
        <v>69</v>
      </c>
      <c r="X91" s="105">
        <v>90</v>
      </c>
      <c r="Y91" s="105">
        <v>98</v>
      </c>
      <c r="Z91" s="105">
        <v>106</v>
      </c>
      <c r="AA91" s="105">
        <v>108</v>
      </c>
      <c r="AB91" s="105">
        <v>105</v>
      </c>
      <c r="AC91" s="105">
        <v>101</v>
      </c>
      <c r="AD91" s="105">
        <v>97</v>
      </c>
      <c r="AE91" s="105">
        <v>87</v>
      </c>
      <c r="AF91" s="106" t="s">
        <v>349</v>
      </c>
    </row>
    <row r="92" spans="2:32">
      <c r="B92" s="94"/>
      <c r="C92" s="102"/>
      <c r="D92" s="102"/>
      <c r="E92" s="103"/>
      <c r="F92" s="104"/>
      <c r="G92" s="104"/>
      <c r="H92" s="104"/>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6"/>
    </row>
    <row r="93" spans="2:32">
      <c r="B93" s="98" t="s">
        <v>274</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row>
    <row r="94" spans="2:32">
      <c r="B94" s="101" t="s">
        <v>185</v>
      </c>
      <c r="C94" s="102"/>
      <c r="D94" s="102"/>
      <c r="E94" s="103"/>
      <c r="F94" s="104"/>
      <c r="G94" s="104"/>
      <c r="H94" s="104"/>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6"/>
    </row>
    <row r="95" spans="2:32">
      <c r="B95" s="107" t="s">
        <v>374</v>
      </c>
      <c r="C95" s="102">
        <v>92.955837874006136</v>
      </c>
      <c r="D95" s="102">
        <v>109.46209864022096</v>
      </c>
      <c r="E95" s="109">
        <v>0.05</v>
      </c>
      <c r="F95" s="104" t="s">
        <v>157</v>
      </c>
      <c r="G95" s="104" t="s">
        <v>133</v>
      </c>
      <c r="H95" s="104" t="s">
        <v>134</v>
      </c>
      <c r="I95" s="105">
        <v>10</v>
      </c>
      <c r="J95" s="105" t="s">
        <v>185</v>
      </c>
      <c r="K95" s="105">
        <v>65.010000000000005</v>
      </c>
      <c r="L95" s="105">
        <v>27</v>
      </c>
      <c r="M95" s="105">
        <v>81.47</v>
      </c>
      <c r="N95" s="105">
        <v>67.508774732166003</v>
      </c>
      <c r="O95" s="105">
        <v>83.968774732165997</v>
      </c>
      <c r="P95" s="105">
        <v>68.122098640220969</v>
      </c>
      <c r="Q95" s="105">
        <v>71.902098640220956</v>
      </c>
      <c r="R95" s="105">
        <v>79.792098640220956</v>
      </c>
      <c r="S95" s="105">
        <v>86.312098640220967</v>
      </c>
      <c r="T95" s="105">
        <v>86.372098640220969</v>
      </c>
      <c r="U95" s="105">
        <v>88.232098640220968</v>
      </c>
      <c r="V95" s="105">
        <v>84.702098640220967</v>
      </c>
      <c r="W95" s="105">
        <v>75.492098640220959</v>
      </c>
      <c r="X95" s="105">
        <v>83.907360435547076</v>
      </c>
      <c r="Y95" s="105">
        <v>90.037360435547072</v>
      </c>
      <c r="Z95" s="105">
        <v>96.61736043554707</v>
      </c>
      <c r="AA95" s="105">
        <v>102.19736043554708</v>
      </c>
      <c r="AB95" s="105">
        <v>101.84736043554707</v>
      </c>
      <c r="AC95" s="105">
        <v>105.51736043554708</v>
      </c>
      <c r="AD95" s="105">
        <v>101.27736043554708</v>
      </c>
      <c r="AE95" s="105">
        <v>91.97736043554707</v>
      </c>
      <c r="AF95" s="106" t="s">
        <v>74</v>
      </c>
    </row>
    <row r="96" spans="2:32">
      <c r="B96" s="107" t="s">
        <v>380</v>
      </c>
      <c r="C96" s="102">
        <v>79.918256191404254</v>
      </c>
      <c r="D96" s="102">
        <v>83.282098640220951</v>
      </c>
      <c r="E96" s="103">
        <v>0.05</v>
      </c>
      <c r="F96" s="104" t="s">
        <v>157</v>
      </c>
      <c r="G96" s="104" t="s">
        <v>133</v>
      </c>
      <c r="H96" s="104" t="s">
        <v>134</v>
      </c>
      <c r="I96" s="105">
        <v>10</v>
      </c>
      <c r="J96" s="105" t="s">
        <v>185</v>
      </c>
      <c r="K96" s="105">
        <v>51.92</v>
      </c>
      <c r="L96" s="105">
        <v>2</v>
      </c>
      <c r="M96" s="105">
        <v>55.289999999999992</v>
      </c>
      <c r="N96" s="105">
        <v>54.418774732166</v>
      </c>
      <c r="O96" s="105">
        <v>57.78877473216599</v>
      </c>
      <c r="P96" s="105">
        <v>57.872098640220962</v>
      </c>
      <c r="Q96" s="105">
        <v>68.422098640220966</v>
      </c>
      <c r="R96" s="105">
        <v>68.832098640220963</v>
      </c>
      <c r="S96" s="105">
        <v>69.642098640220965</v>
      </c>
      <c r="T96" s="105">
        <v>73.63209864022096</v>
      </c>
      <c r="U96" s="105">
        <v>75.402098640220956</v>
      </c>
      <c r="V96" s="105">
        <v>71.252098640220964</v>
      </c>
      <c r="W96" s="105">
        <v>64.162098640220961</v>
      </c>
      <c r="X96" s="105">
        <v>59.002091617951734</v>
      </c>
      <c r="Y96" s="105">
        <v>68.452091617951737</v>
      </c>
      <c r="Z96" s="105">
        <v>70.582091617951733</v>
      </c>
      <c r="AA96" s="105">
        <v>73.392091617951735</v>
      </c>
      <c r="AB96" s="105">
        <v>77.532091617951735</v>
      </c>
      <c r="AC96" s="105">
        <v>79.032091617951735</v>
      </c>
      <c r="AD96" s="105">
        <v>74.572091617951742</v>
      </c>
      <c r="AE96" s="105">
        <v>68.142091617951735</v>
      </c>
      <c r="AF96" s="106" t="s">
        <v>74</v>
      </c>
    </row>
    <row r="97" spans="2:32">
      <c r="B97" s="107" t="s">
        <v>487</v>
      </c>
      <c r="C97" s="102">
        <v>87.177908708667104</v>
      </c>
      <c r="D97" s="102">
        <v>96.983528439985975</v>
      </c>
      <c r="E97" s="103">
        <v>0.05</v>
      </c>
      <c r="F97" s="104" t="s">
        <v>135</v>
      </c>
      <c r="G97" s="104" t="s">
        <v>136</v>
      </c>
      <c r="H97" s="104" t="s">
        <v>139</v>
      </c>
      <c r="I97" s="105">
        <v>10</v>
      </c>
      <c r="J97" s="105">
        <v>1.0101010101010102</v>
      </c>
      <c r="K97" s="105">
        <v>59.19611002508595</v>
      </c>
      <c r="L97" s="105">
        <v>10</v>
      </c>
      <c r="M97" s="105">
        <v>69.025248880642323</v>
      </c>
      <c r="N97" s="105">
        <v>61.694884757251948</v>
      </c>
      <c r="O97" s="105">
        <v>71.524023612808321</v>
      </c>
      <c r="P97" s="105">
        <v>70.907956773326291</v>
      </c>
      <c r="Q97" s="105">
        <v>68.513004291706807</v>
      </c>
      <c r="R97" s="105">
        <v>77.010117839655038</v>
      </c>
      <c r="S97" s="105">
        <v>81.458520866214045</v>
      </c>
      <c r="T97" s="105">
        <v>83.170686334136548</v>
      </c>
      <c r="U97" s="105">
        <v>78.377134395493485</v>
      </c>
      <c r="V97" s="105">
        <v>73.896227879653523</v>
      </c>
      <c r="W97" s="105">
        <v>70.682725991239806</v>
      </c>
      <c r="X97" s="105">
        <v>72.103671548046094</v>
      </c>
      <c r="Y97" s="105">
        <v>75.201616580708489</v>
      </c>
      <c r="Z97" s="105">
        <v>82.65728039311422</v>
      </c>
      <c r="AA97" s="105">
        <v>90.564140764065016</v>
      </c>
      <c r="AB97" s="105">
        <v>92.744018588517179</v>
      </c>
      <c r="AC97" s="105">
        <v>88.809244965932109</v>
      </c>
      <c r="AD97" s="105">
        <v>87.24719615391416</v>
      </c>
      <c r="AE97" s="105">
        <v>81.938018608878934</v>
      </c>
      <c r="AF97" s="106" t="s">
        <v>275</v>
      </c>
    </row>
    <row r="98" spans="2:32">
      <c r="B98" s="107" t="s">
        <v>488</v>
      </c>
      <c r="C98" s="102">
        <v>84.873082205366046</v>
      </c>
      <c r="D98" s="102">
        <v>90.804379886150542</v>
      </c>
      <c r="E98" s="103">
        <v>0.05</v>
      </c>
      <c r="F98" s="104" t="s">
        <v>135</v>
      </c>
      <c r="G98" s="104" t="s">
        <v>136</v>
      </c>
      <c r="H98" s="104" t="s">
        <v>139</v>
      </c>
      <c r="I98" s="105">
        <v>10</v>
      </c>
      <c r="J98" s="105">
        <v>1</v>
      </c>
      <c r="K98" s="105">
        <v>56.891283521784871</v>
      </c>
      <c r="L98" s="105">
        <v>10</v>
      </c>
      <c r="M98" s="105">
        <v>62.822581202569388</v>
      </c>
      <c r="N98" s="105">
        <v>59.390058253950869</v>
      </c>
      <c r="O98" s="105">
        <v>65.321355934735379</v>
      </c>
      <c r="P98" s="105">
        <v>59.947214700463469</v>
      </c>
      <c r="Q98" s="105">
        <v>68.013144072500253</v>
      </c>
      <c r="R98" s="105">
        <v>76.990179644424131</v>
      </c>
      <c r="S98" s="105">
        <v>79.915537825059033</v>
      </c>
      <c r="T98" s="105">
        <v>80.119504319688559</v>
      </c>
      <c r="U98" s="105">
        <v>75.343315884331886</v>
      </c>
      <c r="V98" s="105">
        <v>68.918584785759592</v>
      </c>
      <c r="W98" s="105">
        <v>68.39744940121048</v>
      </c>
      <c r="X98" s="105">
        <v>65.101751425461146</v>
      </c>
      <c r="Y98" s="105">
        <v>73.78256978430197</v>
      </c>
      <c r="Z98" s="105">
        <v>82.143661313147689</v>
      </c>
      <c r="AA98" s="105">
        <v>85.813814978658556</v>
      </c>
      <c r="AB98" s="105">
        <v>86.394574723057559</v>
      </c>
      <c r="AC98" s="105">
        <v>80.593857489855537</v>
      </c>
      <c r="AD98" s="105">
        <v>75.791731174727929</v>
      </c>
      <c r="AE98" s="105">
        <v>74.87063833792385</v>
      </c>
      <c r="AF98" s="106" t="s">
        <v>276</v>
      </c>
    </row>
    <row r="99" spans="2:32">
      <c r="B99" s="107" t="s">
        <v>489</v>
      </c>
      <c r="C99" s="102">
        <v>90.340155322066224</v>
      </c>
      <c r="D99" s="102">
        <v>98.780535464920987</v>
      </c>
      <c r="E99" s="103">
        <v>0.05</v>
      </c>
      <c r="F99" s="104" t="s">
        <v>135</v>
      </c>
      <c r="G99" s="104" t="s">
        <v>136</v>
      </c>
      <c r="H99" s="104" t="s">
        <v>139</v>
      </c>
      <c r="I99" s="105">
        <v>10</v>
      </c>
      <c r="J99" s="105">
        <v>1.125</v>
      </c>
      <c r="K99" s="105">
        <v>62.358356638485063</v>
      </c>
      <c r="L99" s="105">
        <v>9</v>
      </c>
      <c r="M99" s="105">
        <v>66.688080075675998</v>
      </c>
      <c r="N99" s="105">
        <v>68.316988244023577</v>
      </c>
      <c r="O99" s="105">
        <v>69.186854807841996</v>
      </c>
      <c r="P99" s="105">
        <v>59.874041291994978</v>
      </c>
      <c r="Q99" s="105">
        <v>72.16138100952881</v>
      </c>
      <c r="R99" s="105">
        <v>80.790669250688453</v>
      </c>
      <c r="S99" s="105">
        <v>86.892579033583374</v>
      </c>
      <c r="T99" s="105">
        <v>84.767706492740501</v>
      </c>
      <c r="U99" s="105">
        <v>80.517121421522333</v>
      </c>
      <c r="V99" s="105">
        <v>74.46994235034559</v>
      </c>
      <c r="W99" s="105">
        <v>71.687571441923154</v>
      </c>
      <c r="X99" s="105">
        <v>64.189109778866737</v>
      </c>
      <c r="Y99" s="105">
        <v>79.047995679211027</v>
      </c>
      <c r="Z99" s="105">
        <v>88.164512715955283</v>
      </c>
      <c r="AA99" s="105">
        <v>95.128608888994677</v>
      </c>
      <c r="AB99" s="105">
        <v>92.453113210289501</v>
      </c>
      <c r="AC99" s="105">
        <v>90.149941360561172</v>
      </c>
      <c r="AD99" s="105">
        <v>81.938198518767223</v>
      </c>
      <c r="AE99" s="105">
        <v>79.973060199300733</v>
      </c>
      <c r="AF99" s="106" t="s">
        <v>277</v>
      </c>
    </row>
    <row r="100" spans="2:32">
      <c r="B100" s="107" t="s">
        <v>490</v>
      </c>
      <c r="C100" s="102">
        <v>94.071525694305336</v>
      </c>
      <c r="D100" s="102">
        <v>102.89056845887669</v>
      </c>
      <c r="E100" s="103">
        <v>0.05</v>
      </c>
      <c r="F100" s="104" t="s">
        <v>135</v>
      </c>
      <c r="G100" s="104" t="s">
        <v>136</v>
      </c>
      <c r="H100" s="104" t="s">
        <v>139</v>
      </c>
      <c r="I100" s="105">
        <v>10</v>
      </c>
      <c r="J100" s="105">
        <v>1.1805555555555556</v>
      </c>
      <c r="K100" s="105">
        <v>66.089727010724175</v>
      </c>
      <c r="L100" s="105">
        <v>8.5</v>
      </c>
      <c r="M100" s="105">
        <v>74.908769775295525</v>
      </c>
      <c r="N100" s="105">
        <v>68.588501742890173</v>
      </c>
      <c r="O100" s="105">
        <v>77.407544507461523</v>
      </c>
      <c r="P100" s="105">
        <v>56.507632652751035</v>
      </c>
      <c r="Q100" s="105">
        <v>69.556471419428931</v>
      </c>
      <c r="R100" s="105">
        <v>81.646456080970395</v>
      </c>
      <c r="S100" s="105">
        <v>88.257116372948332</v>
      </c>
      <c r="T100" s="105">
        <v>89.158018811703926</v>
      </c>
      <c r="U100" s="105">
        <v>87.958001729525904</v>
      </c>
      <c r="V100" s="105">
        <v>83.668295536214544</v>
      </c>
      <c r="W100" s="105">
        <v>76.741082548667251</v>
      </c>
      <c r="X100" s="105">
        <v>59.964287254657052</v>
      </c>
      <c r="Y100" s="105">
        <v>75.712618982690685</v>
      </c>
      <c r="Z100" s="105">
        <v>89.491947646557193</v>
      </c>
      <c r="AA100" s="105">
        <v>96.928652674585408</v>
      </c>
      <c r="AB100" s="105">
        <v>98.420102397201561</v>
      </c>
      <c r="AC100" s="105">
        <v>96.297887913674145</v>
      </c>
      <c r="AD100" s="105">
        <v>92.334312035821398</v>
      </c>
      <c r="AE100" s="105">
        <v>86.893333162112157</v>
      </c>
      <c r="AF100" s="106" t="s">
        <v>278</v>
      </c>
    </row>
    <row r="101" spans="2:32">
      <c r="B101" s="107" t="s">
        <v>381</v>
      </c>
      <c r="C101" s="102">
        <v>77.280352209800782</v>
      </c>
      <c r="D101" s="102">
        <v>86.072098640220958</v>
      </c>
      <c r="E101" s="103">
        <v>0.05</v>
      </c>
      <c r="F101" s="104" t="s">
        <v>279</v>
      </c>
      <c r="G101" s="104" t="s">
        <v>149</v>
      </c>
      <c r="H101" s="104" t="s">
        <v>134</v>
      </c>
      <c r="I101" s="105">
        <v>10</v>
      </c>
      <c r="J101" s="105" t="s">
        <v>185</v>
      </c>
      <c r="K101" s="105">
        <v>49.31</v>
      </c>
      <c r="L101" s="105">
        <v>11</v>
      </c>
      <c r="M101" s="105">
        <v>58.08</v>
      </c>
      <c r="N101" s="105">
        <v>51.808774732166</v>
      </c>
      <c r="O101" s="105">
        <v>60.578774732165996</v>
      </c>
      <c r="P101" s="105">
        <v>56.402098640220963</v>
      </c>
      <c r="Q101" s="105">
        <v>62.672098640220966</v>
      </c>
      <c r="R101" s="105">
        <v>68.612098640220964</v>
      </c>
      <c r="S101" s="105">
        <v>70.202098640220967</v>
      </c>
      <c r="T101" s="105">
        <v>71.622098640220969</v>
      </c>
      <c r="U101" s="105">
        <v>71.532098640220966</v>
      </c>
      <c r="V101" s="105">
        <v>66.032098640220966</v>
      </c>
      <c r="W101" s="105">
        <v>58.222098640220963</v>
      </c>
      <c r="X101" s="105">
        <v>64.726898811307137</v>
      </c>
      <c r="Y101" s="105">
        <v>69.796898811307145</v>
      </c>
      <c r="Z101" s="105">
        <v>75.53689881130714</v>
      </c>
      <c r="AA101" s="105">
        <v>77.546898811307145</v>
      </c>
      <c r="AB101" s="105">
        <v>77.586898811307151</v>
      </c>
      <c r="AC101" s="105">
        <v>82.616898811307138</v>
      </c>
      <c r="AD101" s="105">
        <v>77.276898811307149</v>
      </c>
      <c r="AE101" s="105">
        <v>67.896898811307139</v>
      </c>
      <c r="AF101" s="106" t="s">
        <v>88</v>
      </c>
    </row>
    <row r="102" spans="2:32">
      <c r="B102" s="107" t="s">
        <v>382</v>
      </c>
      <c r="C102" s="102">
        <v>88.407090516870753</v>
      </c>
      <c r="D102" s="102">
        <v>97.352098640220973</v>
      </c>
      <c r="E102" s="103">
        <v>0.05</v>
      </c>
      <c r="F102" s="104" t="s">
        <v>150</v>
      </c>
      <c r="G102" s="104" t="s">
        <v>149</v>
      </c>
      <c r="H102" s="104" t="s">
        <v>134</v>
      </c>
      <c r="I102" s="105">
        <v>10</v>
      </c>
      <c r="J102" s="105" t="s">
        <v>185</v>
      </c>
      <c r="K102" s="105">
        <v>60.46</v>
      </c>
      <c r="L102" s="105">
        <v>15</v>
      </c>
      <c r="M102" s="105">
        <v>69.360000000000014</v>
      </c>
      <c r="N102" s="105">
        <v>62.958774732165999</v>
      </c>
      <c r="O102" s="105">
        <v>71.858774732166012</v>
      </c>
      <c r="P102" s="105">
        <v>66.642098640220965</v>
      </c>
      <c r="Q102" s="105">
        <v>68.982098640220968</v>
      </c>
      <c r="R102" s="105">
        <v>75.402098640220956</v>
      </c>
      <c r="S102" s="105">
        <v>84.51209864022097</v>
      </c>
      <c r="T102" s="105">
        <v>84.062098640220967</v>
      </c>
      <c r="U102" s="105">
        <v>79.822098640220958</v>
      </c>
      <c r="V102" s="105">
        <v>70.122098640220969</v>
      </c>
      <c r="W102" s="105">
        <v>63.102098640220959</v>
      </c>
      <c r="X102" s="105">
        <v>77.056079757209332</v>
      </c>
      <c r="Y102" s="105">
        <v>77.046079757209327</v>
      </c>
      <c r="Z102" s="105">
        <v>84.206079757209324</v>
      </c>
      <c r="AA102" s="105">
        <v>93.726079757209334</v>
      </c>
      <c r="AB102" s="105">
        <v>92.716079757209329</v>
      </c>
      <c r="AC102" s="105">
        <v>88.626079757209325</v>
      </c>
      <c r="AD102" s="105">
        <v>79.486079757209325</v>
      </c>
      <c r="AE102" s="105">
        <v>74.036079757209336</v>
      </c>
      <c r="AF102" s="106" t="s">
        <v>89</v>
      </c>
    </row>
    <row r="103" spans="2:32">
      <c r="B103" s="107" t="s">
        <v>383</v>
      </c>
      <c r="C103" s="102">
        <v>85.763726881681407</v>
      </c>
      <c r="D103" s="102">
        <v>97.652098640220942</v>
      </c>
      <c r="E103" s="103">
        <v>0.05</v>
      </c>
      <c r="F103" s="104" t="s">
        <v>148</v>
      </c>
      <c r="G103" s="104" t="s">
        <v>133</v>
      </c>
      <c r="H103" s="104" t="s">
        <v>134</v>
      </c>
      <c r="I103" s="105">
        <v>10</v>
      </c>
      <c r="J103" s="105" t="s">
        <v>185</v>
      </c>
      <c r="K103" s="105">
        <v>57.82</v>
      </c>
      <c r="L103" s="105">
        <v>16</v>
      </c>
      <c r="M103" s="105">
        <v>69.659999999999982</v>
      </c>
      <c r="N103" s="105">
        <v>60.318774732165998</v>
      </c>
      <c r="O103" s="105">
        <v>72.15877473216598</v>
      </c>
      <c r="P103" s="105">
        <v>65.752098640220964</v>
      </c>
      <c r="Q103" s="105">
        <v>69.162098640220961</v>
      </c>
      <c r="R103" s="105">
        <v>75.88209864022096</v>
      </c>
      <c r="S103" s="105">
        <v>82.062098640220967</v>
      </c>
      <c r="T103" s="105">
        <v>80.672098640220966</v>
      </c>
      <c r="U103" s="105">
        <v>76.352098640220959</v>
      </c>
      <c r="V103" s="105">
        <v>66.332098640220963</v>
      </c>
      <c r="W103" s="105">
        <v>61.13209864022096</v>
      </c>
      <c r="X103" s="105">
        <v>80.695462604908585</v>
      </c>
      <c r="Y103" s="105">
        <v>82.665462604908583</v>
      </c>
      <c r="Z103" s="105">
        <v>90.055462604908584</v>
      </c>
      <c r="AA103" s="105">
        <v>94.425462604908589</v>
      </c>
      <c r="AB103" s="105">
        <v>90.755462604908587</v>
      </c>
      <c r="AC103" s="105">
        <v>86.675462604908589</v>
      </c>
      <c r="AD103" s="105">
        <v>76.475462604908586</v>
      </c>
      <c r="AE103" s="105">
        <v>75.905462604908593</v>
      </c>
      <c r="AF103" s="106" t="s">
        <v>89</v>
      </c>
    </row>
    <row r="104" spans="2:32">
      <c r="B104" s="107" t="s">
        <v>384</v>
      </c>
      <c r="C104" s="102">
        <v>82.032108663686017</v>
      </c>
      <c r="D104" s="102">
        <v>91.422098640220952</v>
      </c>
      <c r="E104" s="103">
        <v>0.05</v>
      </c>
      <c r="F104" s="104" t="s">
        <v>152</v>
      </c>
      <c r="G104" s="104" t="s">
        <v>149</v>
      </c>
      <c r="H104" s="104" t="s">
        <v>134</v>
      </c>
      <c r="I104" s="105">
        <v>10</v>
      </c>
      <c r="J104" s="105" t="s">
        <v>185</v>
      </c>
      <c r="K104" s="105">
        <v>54.06</v>
      </c>
      <c r="L104" s="105">
        <v>8</v>
      </c>
      <c r="M104" s="105">
        <v>63.429999999999993</v>
      </c>
      <c r="N104" s="105">
        <v>56.558774732166</v>
      </c>
      <c r="O104" s="105">
        <v>65.928774732165991</v>
      </c>
      <c r="P104" s="105">
        <v>64.532098640220966</v>
      </c>
      <c r="Q104" s="105">
        <v>69.462098640220958</v>
      </c>
      <c r="R104" s="105">
        <v>73.442098640220962</v>
      </c>
      <c r="S104" s="105">
        <v>74.942098640220962</v>
      </c>
      <c r="T104" s="105">
        <v>77.26209864022097</v>
      </c>
      <c r="U104" s="105">
        <v>75.282098640220966</v>
      </c>
      <c r="V104" s="105">
        <v>67.482098640220968</v>
      </c>
      <c r="W104" s="105">
        <v>63.252098640220964</v>
      </c>
      <c r="X104" s="105">
        <v>73.250924825770113</v>
      </c>
      <c r="Y104" s="105">
        <v>77.230924825770117</v>
      </c>
      <c r="Z104" s="105">
        <v>82.890924825770114</v>
      </c>
      <c r="AA104" s="105">
        <v>84.150924825770119</v>
      </c>
      <c r="AB104" s="105">
        <v>86.360924825770113</v>
      </c>
      <c r="AC104" s="105">
        <v>85.470924825770112</v>
      </c>
      <c r="AD104" s="105">
        <v>76.330924825770111</v>
      </c>
      <c r="AE104" s="105">
        <v>74.880924825770109</v>
      </c>
      <c r="AF104" s="106" t="s">
        <v>90</v>
      </c>
    </row>
    <row r="105" spans="2:32">
      <c r="B105" s="107" t="s">
        <v>385</v>
      </c>
      <c r="C105" s="102">
        <v>78.38545696489291</v>
      </c>
      <c r="D105" s="102">
        <v>87.86209864022095</v>
      </c>
      <c r="E105" s="103">
        <v>0.05</v>
      </c>
      <c r="F105" s="104" t="s">
        <v>153</v>
      </c>
      <c r="G105" s="104" t="s">
        <v>149</v>
      </c>
      <c r="H105" s="104" t="s">
        <v>134</v>
      </c>
      <c r="I105" s="105">
        <v>10</v>
      </c>
      <c r="J105" s="105" t="s">
        <v>185</v>
      </c>
      <c r="K105" s="105">
        <v>50.42</v>
      </c>
      <c r="L105" s="105">
        <v>8</v>
      </c>
      <c r="M105" s="105">
        <v>59.86999999999999</v>
      </c>
      <c r="N105" s="105">
        <v>52.918774732166</v>
      </c>
      <c r="O105" s="105">
        <v>62.368774732165988</v>
      </c>
      <c r="P105" s="105">
        <v>54.152098640220963</v>
      </c>
      <c r="Q105" s="105">
        <v>63.172098640220966</v>
      </c>
      <c r="R105" s="105">
        <v>70.902098640220956</v>
      </c>
      <c r="S105" s="105">
        <v>72.302098640220962</v>
      </c>
      <c r="T105" s="105">
        <v>73.63209864022096</v>
      </c>
      <c r="U105" s="105">
        <v>70.742098640220959</v>
      </c>
      <c r="V105" s="105">
        <v>62.952098640220967</v>
      </c>
      <c r="W105" s="105">
        <v>56.032098640220966</v>
      </c>
      <c r="X105" s="105">
        <v>62.028059517653958</v>
      </c>
      <c r="Y105" s="105">
        <v>72.83805951765396</v>
      </c>
      <c r="Z105" s="105">
        <v>82.128059517653966</v>
      </c>
      <c r="AA105" s="105">
        <v>81.348059517653965</v>
      </c>
      <c r="AB105" s="105">
        <v>82.728059517653961</v>
      </c>
      <c r="AC105" s="105">
        <v>79.518059517653967</v>
      </c>
      <c r="AD105" s="105">
        <v>70.458059517653965</v>
      </c>
      <c r="AE105" s="105">
        <v>64.418059517653958</v>
      </c>
      <c r="AF105" s="106" t="s">
        <v>91</v>
      </c>
    </row>
    <row r="106" spans="2:32">
      <c r="B106" s="107" t="s">
        <v>386</v>
      </c>
      <c r="C106" s="102">
        <v>82.184749043226503</v>
      </c>
      <c r="D106" s="102">
        <v>94.02209864022096</v>
      </c>
      <c r="E106" s="103">
        <v>0.05</v>
      </c>
      <c r="F106" s="104" t="s">
        <v>135</v>
      </c>
      <c r="G106" s="104" t="s">
        <v>133</v>
      </c>
      <c r="H106" s="104" t="s">
        <v>134</v>
      </c>
      <c r="I106" s="105">
        <v>10</v>
      </c>
      <c r="J106" s="105" t="s">
        <v>185</v>
      </c>
      <c r="K106" s="105">
        <v>54.2</v>
      </c>
      <c r="L106" s="105">
        <v>14</v>
      </c>
      <c r="M106" s="105">
        <v>66.03</v>
      </c>
      <c r="N106" s="105">
        <v>56.698774732166001</v>
      </c>
      <c r="O106" s="105">
        <v>68.528774732165999</v>
      </c>
      <c r="P106" s="105">
        <v>69.862098640220964</v>
      </c>
      <c r="Q106" s="105">
        <v>69.452098640220967</v>
      </c>
      <c r="R106" s="105">
        <v>74.212098640220958</v>
      </c>
      <c r="S106" s="105">
        <v>75.51209864022097</v>
      </c>
      <c r="T106" s="105">
        <v>77.13209864022096</v>
      </c>
      <c r="U106" s="105">
        <v>73.912098640220961</v>
      </c>
      <c r="V106" s="105">
        <v>68.692098640220962</v>
      </c>
      <c r="W106" s="105">
        <v>60.922098640220966</v>
      </c>
      <c r="X106" s="105">
        <v>83.608148392101896</v>
      </c>
      <c r="Y106" s="105">
        <v>80.758148392101901</v>
      </c>
      <c r="Z106" s="105">
        <v>88.058148392101899</v>
      </c>
      <c r="AA106" s="105">
        <v>87.198148392101899</v>
      </c>
      <c r="AB106" s="105">
        <v>87.428148392101903</v>
      </c>
      <c r="AC106" s="105">
        <v>85.058148392101899</v>
      </c>
      <c r="AD106" s="105">
        <v>81.118148392101901</v>
      </c>
      <c r="AE106" s="105">
        <v>69.5881483921019</v>
      </c>
      <c r="AF106" s="106" t="s">
        <v>92</v>
      </c>
    </row>
    <row r="107" spans="2:32">
      <c r="B107" s="107" t="s">
        <v>387</v>
      </c>
      <c r="C107" s="102">
        <v>88.597173119818422</v>
      </c>
      <c r="D107" s="102">
        <v>99.602098640220959</v>
      </c>
      <c r="E107" s="103">
        <v>0.15</v>
      </c>
      <c r="F107" s="104" t="s">
        <v>151</v>
      </c>
      <c r="G107" s="104" t="s">
        <v>133</v>
      </c>
      <c r="H107" s="104" t="s">
        <v>134</v>
      </c>
      <c r="I107" s="105">
        <v>10</v>
      </c>
      <c r="J107" s="105" t="s">
        <v>185</v>
      </c>
      <c r="K107" s="105">
        <v>60.63</v>
      </c>
      <c r="L107" s="105">
        <v>39</v>
      </c>
      <c r="M107" s="105">
        <v>71.61</v>
      </c>
      <c r="N107" s="105">
        <v>63.128774732166001</v>
      </c>
      <c r="O107" s="105">
        <v>74.108774732165998</v>
      </c>
      <c r="P107" s="105">
        <v>64.77209864022096</v>
      </c>
      <c r="Q107" s="105">
        <v>70.212098640220958</v>
      </c>
      <c r="R107" s="105">
        <v>76.26209864022097</v>
      </c>
      <c r="S107" s="105">
        <v>82.182098640220957</v>
      </c>
      <c r="T107" s="105">
        <v>84.852098640220959</v>
      </c>
      <c r="U107" s="105">
        <v>81.682098640220957</v>
      </c>
      <c r="V107" s="105">
        <v>76.392098640220965</v>
      </c>
      <c r="W107" s="105">
        <v>68.052098640220962</v>
      </c>
      <c r="X107" s="105">
        <v>72.059184743745632</v>
      </c>
      <c r="Y107" s="105">
        <v>82.789184743745636</v>
      </c>
      <c r="Z107" s="105">
        <v>86.679184743745637</v>
      </c>
      <c r="AA107" s="105">
        <v>94.209184743745638</v>
      </c>
      <c r="AB107" s="105">
        <v>95.49918474374563</v>
      </c>
      <c r="AC107" s="105">
        <v>92.169184743745632</v>
      </c>
      <c r="AD107" s="105">
        <v>87.139184743745631</v>
      </c>
      <c r="AE107" s="105">
        <v>80.179184743745637</v>
      </c>
      <c r="AF107" s="106" t="s">
        <v>93</v>
      </c>
    </row>
    <row r="108" spans="2:32">
      <c r="B108" s="107" t="s">
        <v>388</v>
      </c>
      <c r="C108" s="102">
        <v>85.912704657010366</v>
      </c>
      <c r="D108" s="102">
        <v>97.601699852072997</v>
      </c>
      <c r="E108" s="103">
        <v>0.05</v>
      </c>
      <c r="F108" s="104" t="s">
        <v>151</v>
      </c>
      <c r="G108" s="104" t="s">
        <v>185</v>
      </c>
      <c r="H108" s="104" t="s">
        <v>135</v>
      </c>
      <c r="I108" s="105">
        <v>7</v>
      </c>
      <c r="J108" s="105" t="s">
        <v>185</v>
      </c>
      <c r="K108" s="105">
        <v>61.028945173144081</v>
      </c>
      <c r="L108" s="105">
        <v>6</v>
      </c>
      <c r="M108" s="105">
        <v>72.717940368206712</v>
      </c>
      <c r="N108" s="105">
        <v>60.429680705595217</v>
      </c>
      <c r="O108" s="105">
        <v>72.118675900657848</v>
      </c>
      <c r="P108" s="105">
        <v>73.925647533431842</v>
      </c>
      <c r="Q108" s="105">
        <v>75.009270680694868</v>
      </c>
      <c r="R108" s="105">
        <v>80.234267477741668</v>
      </c>
      <c r="S108" s="105">
        <v>80.108064034466906</v>
      </c>
      <c r="T108" s="105">
        <v>78.465472522585344</v>
      </c>
      <c r="U108" s="105">
        <v>76.369353038938954</v>
      </c>
      <c r="V108" s="105">
        <v>69.828655107491755</v>
      </c>
      <c r="W108" s="105">
        <v>64.062831622898003</v>
      </c>
      <c r="X108" s="105">
        <v>85.448917436909269</v>
      </c>
      <c r="Y108" s="105">
        <v>86.787835882279808</v>
      </c>
      <c r="Z108" s="105">
        <v>92.112290362327272</v>
      </c>
      <c r="AA108" s="105">
        <v>91.074419268292203</v>
      </c>
      <c r="AB108" s="105">
        <v>89.917093293335412</v>
      </c>
      <c r="AC108" s="105">
        <v>89.400445369795577</v>
      </c>
      <c r="AD108" s="105">
        <v>81.635553585008083</v>
      </c>
      <c r="AE108" s="105">
        <v>73.75298770013427</v>
      </c>
      <c r="AF108" s="106" t="s">
        <v>280</v>
      </c>
    </row>
    <row r="109" spans="2:32">
      <c r="B109" s="107" t="s">
        <v>510</v>
      </c>
      <c r="C109" s="102">
        <v>86.419859009975383</v>
      </c>
      <c r="D109" s="102">
        <v>100.07486610536388</v>
      </c>
      <c r="E109" s="103">
        <v>0.05</v>
      </c>
      <c r="F109" s="104" t="s">
        <v>135</v>
      </c>
      <c r="G109" s="104" t="s">
        <v>185</v>
      </c>
      <c r="H109" s="104" t="s">
        <v>154</v>
      </c>
      <c r="I109" s="105">
        <v>7</v>
      </c>
      <c r="J109" s="105" t="s">
        <v>185</v>
      </c>
      <c r="K109" s="105">
        <v>61.536099526109098</v>
      </c>
      <c r="L109" s="105">
        <v>6</v>
      </c>
      <c r="M109" s="105">
        <v>75.191106621497596</v>
      </c>
      <c r="N109" s="105">
        <v>60.936835058560234</v>
      </c>
      <c r="O109" s="105">
        <v>74.591842153948733</v>
      </c>
      <c r="P109" s="105">
        <v>69.839988132124631</v>
      </c>
      <c r="Q109" s="105">
        <v>74.743478335099311</v>
      </c>
      <c r="R109" s="105">
        <v>79.354130563723729</v>
      </c>
      <c r="S109" s="105">
        <v>80.038648141824112</v>
      </c>
      <c r="T109" s="105">
        <v>81.121885834714263</v>
      </c>
      <c r="U109" s="105">
        <v>77.904530802085972</v>
      </c>
      <c r="V109" s="105">
        <v>72.526388331274816</v>
      </c>
      <c r="W109" s="105">
        <v>64.628708490261502</v>
      </c>
      <c r="X109" s="105">
        <v>81.006186668853957</v>
      </c>
      <c r="Y109" s="105">
        <v>86.490596097178269</v>
      </c>
      <c r="Z109" s="105">
        <v>92.758236759755945</v>
      </c>
      <c r="AA109" s="105">
        <v>93.55625430257318</v>
      </c>
      <c r="AB109" s="105">
        <v>95.598801338527807</v>
      </c>
      <c r="AC109" s="105">
        <v>91.497683818417414</v>
      </c>
      <c r="AD109" s="105">
        <v>85.53771331195486</v>
      </c>
      <c r="AE109" s="105">
        <v>76.765716942488467</v>
      </c>
      <c r="AF109" s="106" t="s">
        <v>281</v>
      </c>
    </row>
    <row r="110" spans="2:32">
      <c r="B110" s="107" t="s">
        <v>511</v>
      </c>
      <c r="C110" s="102">
        <v>81.488295867808191</v>
      </c>
      <c r="D110" s="102">
        <v>91.516824675865735</v>
      </c>
      <c r="E110" s="103">
        <v>0.05</v>
      </c>
      <c r="F110" s="104" t="s">
        <v>135</v>
      </c>
      <c r="G110" s="104" t="s">
        <v>185</v>
      </c>
      <c r="H110" s="104" t="s">
        <v>155</v>
      </c>
      <c r="I110" s="105">
        <v>7</v>
      </c>
      <c r="J110" s="105" t="s">
        <v>185</v>
      </c>
      <c r="K110" s="105">
        <v>56.604536383941905</v>
      </c>
      <c r="L110" s="105">
        <v>6</v>
      </c>
      <c r="M110" s="105">
        <v>66.633065191999449</v>
      </c>
      <c r="N110" s="105">
        <v>56.005271916393042</v>
      </c>
      <c r="O110" s="105">
        <v>66.033800724450586</v>
      </c>
      <c r="P110" s="105">
        <v>71.365384402270095</v>
      </c>
      <c r="Q110" s="105">
        <v>70.877129435254503</v>
      </c>
      <c r="R110" s="105">
        <v>72.929376672597613</v>
      </c>
      <c r="S110" s="105">
        <v>75.578160920493715</v>
      </c>
      <c r="T110" s="105">
        <v>75.059408606897051</v>
      </c>
      <c r="U110" s="105">
        <v>72.916639556734495</v>
      </c>
      <c r="V110" s="105">
        <v>67.215848692436225</v>
      </c>
      <c r="W110" s="105">
        <v>63.590592497966412</v>
      </c>
      <c r="X110" s="105">
        <v>81.472493244505813</v>
      </c>
      <c r="Y110" s="105">
        <v>80.682407158646569</v>
      </c>
      <c r="Z110" s="105">
        <v>84.991311901693592</v>
      </c>
      <c r="AA110" s="105">
        <v>86.549850136160501</v>
      </c>
      <c r="AB110" s="105">
        <v>83.158811984572267</v>
      </c>
      <c r="AC110" s="105">
        <v>80.416949474771741</v>
      </c>
      <c r="AD110" s="105">
        <v>76.636461644656023</v>
      </c>
      <c r="AE110" s="105">
        <v>74.782668065471327</v>
      </c>
      <c r="AF110" s="106" t="s">
        <v>282</v>
      </c>
    </row>
    <row r="111" spans="2:32">
      <c r="B111" s="107" t="s">
        <v>389</v>
      </c>
      <c r="C111" s="102">
        <v>91.46855519972209</v>
      </c>
      <c r="D111" s="102">
        <v>102.22193002339925</v>
      </c>
      <c r="E111" s="103">
        <v>0.05</v>
      </c>
      <c r="F111" s="104" t="s">
        <v>135</v>
      </c>
      <c r="G111" s="104" t="s">
        <v>185</v>
      </c>
      <c r="H111" s="104" t="s">
        <v>154</v>
      </c>
      <c r="I111" s="105">
        <v>7</v>
      </c>
      <c r="J111" s="105" t="s">
        <v>185</v>
      </c>
      <c r="K111" s="105">
        <v>63.486756516140936</v>
      </c>
      <c r="L111" s="105">
        <v>4</v>
      </c>
      <c r="M111" s="105">
        <v>74.240131339818106</v>
      </c>
      <c r="N111" s="105">
        <v>62.887492048592073</v>
      </c>
      <c r="O111" s="105">
        <v>73.640866872269243</v>
      </c>
      <c r="P111" s="105">
        <v>68.144729088762332</v>
      </c>
      <c r="Q111" s="105">
        <v>80.88177076400207</v>
      </c>
      <c r="R111" s="105">
        <v>82.069836124623436</v>
      </c>
      <c r="S111" s="105">
        <v>82.671655063882497</v>
      </c>
      <c r="T111" s="105">
        <v>85.114364661982435</v>
      </c>
      <c r="U111" s="105">
        <v>86.637491267259421</v>
      </c>
      <c r="V111" s="105">
        <v>80.826660869445561</v>
      </c>
      <c r="W111" s="105">
        <v>73.132899223556848</v>
      </c>
      <c r="X111" s="105">
        <v>76.716374430110292</v>
      </c>
      <c r="Y111" s="105">
        <v>89.000489875057099</v>
      </c>
      <c r="Z111" s="105">
        <v>93.332622929384613</v>
      </c>
      <c r="AA111" s="105">
        <v>93.857844477562111</v>
      </c>
      <c r="AB111" s="105">
        <v>95.852183165603932</v>
      </c>
      <c r="AC111" s="105">
        <v>97.339600697745382</v>
      </c>
      <c r="AD111" s="105">
        <v>92.376921453794779</v>
      </c>
      <c r="AE111" s="105">
        <v>84.107482220526961</v>
      </c>
      <c r="AF111" s="106" t="s">
        <v>283</v>
      </c>
    </row>
    <row r="112" spans="2:32">
      <c r="B112" s="107" t="s">
        <v>390</v>
      </c>
      <c r="C112" s="102">
        <v>91.444347493410703</v>
      </c>
      <c r="D112" s="102">
        <v>103.48438907073633</v>
      </c>
      <c r="E112" s="103">
        <v>0.05</v>
      </c>
      <c r="F112" s="104" t="s">
        <v>135</v>
      </c>
      <c r="G112" s="104" t="s">
        <v>185</v>
      </c>
      <c r="H112" s="104" t="s">
        <v>154</v>
      </c>
      <c r="I112" s="105">
        <v>7</v>
      </c>
      <c r="J112" s="105" t="s">
        <v>185</v>
      </c>
      <c r="K112" s="105">
        <v>63.462548809829549</v>
      </c>
      <c r="L112" s="105">
        <v>6</v>
      </c>
      <c r="M112" s="105">
        <v>75.50259038715518</v>
      </c>
      <c r="N112" s="105">
        <v>62.863284342280686</v>
      </c>
      <c r="O112" s="105">
        <v>74.903325919606317</v>
      </c>
      <c r="P112" s="105">
        <v>80.191913459079544</v>
      </c>
      <c r="Q112" s="105">
        <v>81.637828960856808</v>
      </c>
      <c r="R112" s="105">
        <v>85.62016027760717</v>
      </c>
      <c r="S112" s="105">
        <v>83.404420347851129</v>
      </c>
      <c r="T112" s="105">
        <v>83.901606737076278</v>
      </c>
      <c r="U112" s="105">
        <v>83.858774073804028</v>
      </c>
      <c r="V112" s="105">
        <v>77.913642058077997</v>
      </c>
      <c r="W112" s="105">
        <v>69.952933339614361</v>
      </c>
      <c r="X112" s="105">
        <v>90.820712207626258</v>
      </c>
      <c r="Y112" s="105">
        <v>94.109082790328458</v>
      </c>
      <c r="Z112" s="105">
        <v>99.312428405798627</v>
      </c>
      <c r="AA112" s="105">
        <v>95.054669587186353</v>
      </c>
      <c r="AB112" s="105">
        <v>94.580788455778816</v>
      </c>
      <c r="AC112" s="105">
        <v>94.734016792340384</v>
      </c>
      <c r="AD112" s="105">
        <v>89.333803601258424</v>
      </c>
      <c r="AE112" s="105">
        <v>79.110475901936354</v>
      </c>
      <c r="AF112" s="106" t="s">
        <v>284</v>
      </c>
    </row>
    <row r="113" spans="2:32">
      <c r="B113" s="107" t="s">
        <v>491</v>
      </c>
      <c r="C113" s="102">
        <v>99.751391592517749</v>
      </c>
      <c r="D113" s="102">
        <v>105.23494460060169</v>
      </c>
      <c r="E113" s="103">
        <v>0.05</v>
      </c>
      <c r="F113" s="104" t="s">
        <v>135</v>
      </c>
      <c r="G113" s="104" t="s">
        <v>137</v>
      </c>
      <c r="H113" s="104" t="s">
        <v>140</v>
      </c>
      <c r="I113" s="105">
        <v>10</v>
      </c>
      <c r="J113" s="105">
        <v>1.25</v>
      </c>
      <c r="K113" s="105">
        <v>71.769592908936602</v>
      </c>
      <c r="L113" s="105">
        <v>8</v>
      </c>
      <c r="M113" s="105">
        <v>77.253145917020547</v>
      </c>
      <c r="N113" s="105">
        <v>74.2683676411026</v>
      </c>
      <c r="O113" s="105">
        <v>79.751920649186545</v>
      </c>
      <c r="P113" s="105">
        <v>63.923176828516404</v>
      </c>
      <c r="Q113" s="105">
        <v>77.45515236980485</v>
      </c>
      <c r="R113" s="105">
        <v>85.078822499365231</v>
      </c>
      <c r="S113" s="105">
        <v>95.086693137257313</v>
      </c>
      <c r="T113" s="105">
        <v>96.013832995348864</v>
      </c>
      <c r="U113" s="105">
        <v>91.844742216830454</v>
      </c>
      <c r="V113" s="105">
        <v>84.302904791360277</v>
      </c>
      <c r="W113" s="105">
        <v>76.543001892794152</v>
      </c>
      <c r="X113" s="105">
        <v>67.825721080032466</v>
      </c>
      <c r="Y113" s="105">
        <v>82.819156033438844</v>
      </c>
      <c r="Z113" s="105">
        <v>90.515313333147986</v>
      </c>
      <c r="AA113" s="105">
        <v>100.5442456017017</v>
      </c>
      <c r="AB113" s="105">
        <v>101.30085293039504</v>
      </c>
      <c r="AC113" s="105">
        <v>97.790984782427188</v>
      </c>
      <c r="AD113" s="105">
        <v>89.495095920163152</v>
      </c>
      <c r="AE113" s="105">
        <v>83.532749792806129</v>
      </c>
      <c r="AF113" s="106" t="s">
        <v>285</v>
      </c>
    </row>
    <row r="114" spans="2:32">
      <c r="B114" s="107" t="s">
        <v>492</v>
      </c>
      <c r="C114" s="102">
        <v>90.34905087936535</v>
      </c>
      <c r="D114" s="102">
        <v>96.520262070315539</v>
      </c>
      <c r="E114" s="103">
        <v>0.05</v>
      </c>
      <c r="F114" s="104" t="s">
        <v>135</v>
      </c>
      <c r="G114" s="104" t="s">
        <v>137</v>
      </c>
      <c r="H114" s="104" t="s">
        <v>140</v>
      </c>
      <c r="I114" s="105">
        <v>10</v>
      </c>
      <c r="J114" s="105">
        <v>1.0555555555555556</v>
      </c>
      <c r="K114" s="105">
        <v>62.367252195784182</v>
      </c>
      <c r="L114" s="105">
        <v>9.5</v>
      </c>
      <c r="M114" s="105">
        <v>68.538463386734406</v>
      </c>
      <c r="N114" s="105">
        <v>64.866026927950188</v>
      </c>
      <c r="O114" s="105">
        <v>71.037238118900405</v>
      </c>
      <c r="P114" s="105">
        <v>63.323757538610188</v>
      </c>
      <c r="Q114" s="105">
        <v>72.81355006605294</v>
      </c>
      <c r="R114" s="105">
        <v>79.419212485905462</v>
      </c>
      <c r="S114" s="105">
        <v>84.840797794678778</v>
      </c>
      <c r="T114" s="105">
        <v>85.641169687777975</v>
      </c>
      <c r="U114" s="105">
        <v>83.294487647404367</v>
      </c>
      <c r="V114" s="105">
        <v>78.451582576703473</v>
      </c>
      <c r="W114" s="105">
        <v>73.016203272751667</v>
      </c>
      <c r="X114" s="105">
        <v>67.259634989161967</v>
      </c>
      <c r="Y114" s="105">
        <v>79.165557196798446</v>
      </c>
      <c r="Z114" s="105">
        <v>84.627946140336121</v>
      </c>
      <c r="AA114" s="105">
        <v>90.749701722813981</v>
      </c>
      <c r="AB114" s="105">
        <v>91.260117309944178</v>
      </c>
      <c r="AC114" s="105">
        <v>89.752846599304902</v>
      </c>
      <c r="AD114" s="105">
        <v>86.882637060605958</v>
      </c>
      <c r="AE114" s="105">
        <v>81.624237359959949</v>
      </c>
      <c r="AF114" s="106" t="s">
        <v>286</v>
      </c>
    </row>
    <row r="115" spans="2:32">
      <c r="B115" s="107" t="s">
        <v>493</v>
      </c>
      <c r="C115" s="102">
        <v>100.68074374664108</v>
      </c>
      <c r="D115" s="102">
        <v>106.34383041911602</v>
      </c>
      <c r="E115" s="103">
        <v>0.05</v>
      </c>
      <c r="F115" s="104" t="s">
        <v>135</v>
      </c>
      <c r="G115" s="104" t="s">
        <v>137</v>
      </c>
      <c r="H115" s="104" t="s">
        <v>140</v>
      </c>
      <c r="I115" s="105">
        <v>10</v>
      </c>
      <c r="J115" s="105">
        <v>1.1805555555555556</v>
      </c>
      <c r="K115" s="105">
        <v>72.698945063059952</v>
      </c>
      <c r="L115" s="105">
        <v>8.5</v>
      </c>
      <c r="M115" s="105">
        <v>78.362031735534885</v>
      </c>
      <c r="N115" s="105">
        <v>75.19771979522595</v>
      </c>
      <c r="O115" s="105">
        <v>80.860806467700883</v>
      </c>
      <c r="P115" s="105">
        <v>67.37508566038197</v>
      </c>
      <c r="Q115" s="105">
        <v>78.402763810497831</v>
      </c>
      <c r="R115" s="105">
        <v>90.436760891048891</v>
      </c>
      <c r="S115" s="105">
        <v>96.752400311584353</v>
      </c>
      <c r="T115" s="105">
        <v>95.511057810290936</v>
      </c>
      <c r="U115" s="105">
        <v>92.218074449325059</v>
      </c>
      <c r="V115" s="105">
        <v>86.369089805115763</v>
      </c>
      <c r="W115" s="105">
        <v>80.978504404065333</v>
      </c>
      <c r="X115" s="105">
        <v>73.440917393724874</v>
      </c>
      <c r="Y115" s="105">
        <v>84.580381062359663</v>
      </c>
      <c r="Z115" s="105">
        <v>97.358281843219544</v>
      </c>
      <c r="AA115" s="105">
        <v>101.88909332815476</v>
      </c>
      <c r="AB115" s="105">
        <v>101.18316045948544</v>
      </c>
      <c r="AC115" s="105">
        <v>97.86809250898699</v>
      </c>
      <c r="AD115" s="105">
        <v>91.563215477841268</v>
      </c>
      <c r="AE115" s="105">
        <v>87.347564626423491</v>
      </c>
      <c r="AF115" s="106" t="s">
        <v>287</v>
      </c>
    </row>
    <row r="116" spans="2:32">
      <c r="B116" s="107" t="s">
        <v>494</v>
      </c>
      <c r="C116" s="102">
        <v>96.848405522746106</v>
      </c>
      <c r="D116" s="102">
        <v>101.67546180079688</v>
      </c>
      <c r="E116" s="103">
        <v>0.05</v>
      </c>
      <c r="F116" s="104" t="s">
        <v>135</v>
      </c>
      <c r="G116" s="104" t="s">
        <v>137</v>
      </c>
      <c r="H116" s="104" t="s">
        <v>140</v>
      </c>
      <c r="I116" s="105">
        <v>10</v>
      </c>
      <c r="J116" s="105">
        <v>1.0795454545454546</v>
      </c>
      <c r="K116" s="105">
        <v>68.866606839164945</v>
      </c>
      <c r="L116" s="105">
        <v>9.5</v>
      </c>
      <c r="M116" s="105">
        <v>73.693663117215721</v>
      </c>
      <c r="N116" s="105">
        <v>71.365381571330943</v>
      </c>
      <c r="O116" s="105">
        <v>76.192437849381719</v>
      </c>
      <c r="P116" s="105">
        <v>65.516268492468512</v>
      </c>
      <c r="Q116" s="105">
        <v>72.800379655834334</v>
      </c>
      <c r="R116" s="105">
        <v>82.965315304042491</v>
      </c>
      <c r="S116" s="105">
        <v>89.340779819047782</v>
      </c>
      <c r="T116" s="105">
        <v>92.28700395067213</v>
      </c>
      <c r="U116" s="105">
        <v>91.636983117181614</v>
      </c>
      <c r="V116" s="105">
        <v>86.996936361716166</v>
      </c>
      <c r="W116" s="105">
        <v>80.350992086972113</v>
      </c>
      <c r="X116" s="105">
        <v>70.390186909521461</v>
      </c>
      <c r="Y116" s="105">
        <v>77.591329192737533</v>
      </c>
      <c r="Z116" s="105">
        <v>87.895954208797974</v>
      </c>
      <c r="AA116" s="105">
        <v>94.178198473133065</v>
      </c>
      <c r="AB116" s="105">
        <v>97.683014827566808</v>
      </c>
      <c r="AC116" s="105">
        <v>95.362730695309153</v>
      </c>
      <c r="AD116" s="105">
        <v>90.766540649815639</v>
      </c>
      <c r="AE116" s="105">
        <v>85.29312762958574</v>
      </c>
      <c r="AF116" s="106" t="s">
        <v>288</v>
      </c>
    </row>
    <row r="117" spans="2:32">
      <c r="B117" s="107" t="s">
        <v>512</v>
      </c>
      <c r="C117" s="102">
        <v>93.190956464093517</v>
      </c>
      <c r="D117" s="102">
        <v>101.74042740035844</v>
      </c>
      <c r="E117" s="103">
        <v>0.05</v>
      </c>
      <c r="F117" s="104" t="s">
        <v>261</v>
      </c>
      <c r="G117" s="104" t="s">
        <v>136</v>
      </c>
      <c r="H117" s="104" t="s">
        <v>139</v>
      </c>
      <c r="I117" s="105">
        <v>10</v>
      </c>
      <c r="J117" s="105">
        <v>1.0795454545454546</v>
      </c>
      <c r="K117" s="105">
        <v>65.209157780512371</v>
      </c>
      <c r="L117" s="105">
        <v>9.5</v>
      </c>
      <c r="M117" s="105">
        <v>73.758628716777281</v>
      </c>
      <c r="N117" s="105">
        <v>67.707932512678369</v>
      </c>
      <c r="O117" s="105">
        <v>76.257403448943279</v>
      </c>
      <c r="P117" s="105">
        <v>56.500377291742709</v>
      </c>
      <c r="Q117" s="105">
        <v>74.044343074523681</v>
      </c>
      <c r="R117" s="105">
        <v>78.661972772102459</v>
      </c>
      <c r="S117" s="105">
        <v>86.320223742066005</v>
      </c>
      <c r="T117" s="105">
        <v>88.018978353711518</v>
      </c>
      <c r="U117" s="105">
        <v>88.110601933702668</v>
      </c>
      <c r="V117" s="105">
        <v>84.159611615516866</v>
      </c>
      <c r="W117" s="105">
        <v>71.910678644912437</v>
      </c>
      <c r="X117" s="105">
        <v>60.710845959281556</v>
      </c>
      <c r="Y117" s="105">
        <v>79.815434008839873</v>
      </c>
      <c r="Z117" s="105">
        <v>84.126612574217546</v>
      </c>
      <c r="AA117" s="105">
        <v>94.38642881565174</v>
      </c>
      <c r="AB117" s="105">
        <v>95.448262010933718</v>
      </c>
      <c r="AC117" s="105">
        <v>96.769880090570808</v>
      </c>
      <c r="AD117" s="105">
        <v>94.598249880401966</v>
      </c>
      <c r="AE117" s="105">
        <v>79.984629156710625</v>
      </c>
      <c r="AF117" s="106" t="s">
        <v>289</v>
      </c>
    </row>
    <row r="118" spans="2:32">
      <c r="B118" s="107" t="s">
        <v>513</v>
      </c>
      <c r="C118" s="102">
        <v>91.291230012118632</v>
      </c>
      <c r="D118" s="102">
        <v>98.83448949505231</v>
      </c>
      <c r="E118" s="103">
        <v>0.05</v>
      </c>
      <c r="F118" s="104" t="s">
        <v>261</v>
      </c>
      <c r="G118" s="104" t="s">
        <v>136</v>
      </c>
      <c r="H118" s="104" t="s">
        <v>139</v>
      </c>
      <c r="I118" s="105">
        <v>10</v>
      </c>
      <c r="J118" s="105">
        <v>1.1111111111111112</v>
      </c>
      <c r="K118" s="105">
        <v>63.309431328537478</v>
      </c>
      <c r="L118" s="105">
        <v>9</v>
      </c>
      <c r="M118" s="105">
        <v>70.852690811471163</v>
      </c>
      <c r="N118" s="105">
        <v>65.808206060703483</v>
      </c>
      <c r="O118" s="105">
        <v>73.351465543637161</v>
      </c>
      <c r="P118" s="105">
        <v>63.390122871856676</v>
      </c>
      <c r="Q118" s="105">
        <v>75.188865414196442</v>
      </c>
      <c r="R118" s="105">
        <v>78.622843166679317</v>
      </c>
      <c r="S118" s="105">
        <v>83.355405255093643</v>
      </c>
      <c r="T118" s="105">
        <v>86.607986400551653</v>
      </c>
      <c r="U118" s="105">
        <v>85.914451807995178</v>
      </c>
      <c r="V118" s="105">
        <v>82.07777864388018</v>
      </c>
      <c r="W118" s="105">
        <v>70.805868544942513</v>
      </c>
      <c r="X118" s="105">
        <v>66.764682853191061</v>
      </c>
      <c r="Y118" s="105">
        <v>79.91073032570317</v>
      </c>
      <c r="Z118" s="105">
        <v>83.542505614224538</v>
      </c>
      <c r="AA118" s="105">
        <v>89.084147241199673</v>
      </c>
      <c r="AB118" s="105">
        <v>90.34081332041643</v>
      </c>
      <c r="AC118" s="105">
        <v>95.844231776190327</v>
      </c>
      <c r="AD118" s="105">
        <v>91.554030207126559</v>
      </c>
      <c r="AE118" s="105">
        <v>78.868877817406315</v>
      </c>
      <c r="AF118" s="106" t="s">
        <v>290</v>
      </c>
    </row>
    <row r="119" spans="2:32">
      <c r="B119" s="107" t="s">
        <v>495</v>
      </c>
      <c r="C119" s="102">
        <v>94.924293377206681</v>
      </c>
      <c r="D119" s="102">
        <v>102.45451289907228</v>
      </c>
      <c r="E119" s="103">
        <v>0.05</v>
      </c>
      <c r="F119" s="104" t="s">
        <v>261</v>
      </c>
      <c r="G119" s="104" t="s">
        <v>136</v>
      </c>
      <c r="H119" s="104" t="s">
        <v>139</v>
      </c>
      <c r="I119" s="105">
        <v>10</v>
      </c>
      <c r="J119" s="105">
        <v>1.2698412698412698</v>
      </c>
      <c r="K119" s="105">
        <v>66.942494693625534</v>
      </c>
      <c r="L119" s="105">
        <v>8</v>
      </c>
      <c r="M119" s="105">
        <v>74.472714215491138</v>
      </c>
      <c r="N119" s="105">
        <v>69.441269425791546</v>
      </c>
      <c r="O119" s="105">
        <v>76.971488947657136</v>
      </c>
      <c r="P119" s="105">
        <v>59.001339649930287</v>
      </c>
      <c r="Q119" s="105">
        <v>77.19130460091661</v>
      </c>
      <c r="R119" s="105">
        <v>83.022889665821026</v>
      </c>
      <c r="S119" s="105">
        <v>88.207451662550596</v>
      </c>
      <c r="T119" s="105">
        <v>89.024736091648435</v>
      </c>
      <c r="U119" s="105">
        <v>89.855092214532618</v>
      </c>
      <c r="V119" s="105">
        <v>86.068789055980858</v>
      </c>
      <c r="W119" s="105">
        <v>73.332147017327216</v>
      </c>
      <c r="X119" s="105">
        <v>63.30058997041079</v>
      </c>
      <c r="Y119" s="105">
        <v>82.675241800854749</v>
      </c>
      <c r="Z119" s="105">
        <v>92.297771954573165</v>
      </c>
      <c r="AA119" s="105">
        <v>96.186187922490234</v>
      </c>
      <c r="AB119" s="105">
        <v>96.077533161365182</v>
      </c>
      <c r="AC119" s="105">
        <v>96.365950649425557</v>
      </c>
      <c r="AD119" s="105">
        <v>93.832073879199896</v>
      </c>
      <c r="AE119" s="105">
        <v>80.847571257476773</v>
      </c>
      <c r="AF119" s="106" t="s">
        <v>291</v>
      </c>
    </row>
    <row r="120" spans="2:32">
      <c r="B120" s="107" t="s">
        <v>496</v>
      </c>
      <c r="C120" s="102">
        <v>100.26786700690097</v>
      </c>
      <c r="D120" s="102">
        <v>107.45902801281571</v>
      </c>
      <c r="E120" s="103">
        <v>0.05</v>
      </c>
      <c r="F120" s="104" t="s">
        <v>261</v>
      </c>
      <c r="G120" s="104" t="s">
        <v>136</v>
      </c>
      <c r="H120" s="104" t="s">
        <v>139</v>
      </c>
      <c r="I120" s="105">
        <v>10</v>
      </c>
      <c r="J120" s="105">
        <v>1.3392857142857144</v>
      </c>
      <c r="K120" s="105">
        <v>72.28606832331981</v>
      </c>
      <c r="L120" s="105">
        <v>7.5</v>
      </c>
      <c r="M120" s="105">
        <v>79.477229329234547</v>
      </c>
      <c r="N120" s="105">
        <v>74.784843055485808</v>
      </c>
      <c r="O120" s="105">
        <v>81.976004061400545</v>
      </c>
      <c r="P120" s="105">
        <v>56.770986813175746</v>
      </c>
      <c r="Q120" s="105">
        <v>71.91289224095766</v>
      </c>
      <c r="R120" s="105">
        <v>78.380834152704494</v>
      </c>
      <c r="S120" s="105">
        <v>91.529823777594657</v>
      </c>
      <c r="T120" s="105">
        <v>93.907222159866961</v>
      </c>
      <c r="U120" s="105">
        <v>96.877318294712623</v>
      </c>
      <c r="V120" s="105">
        <v>92.385532114194291</v>
      </c>
      <c r="W120" s="105">
        <v>78.192464044844328</v>
      </c>
      <c r="X120" s="105">
        <v>60.474229727771728</v>
      </c>
      <c r="Y120" s="105">
        <v>79.320695666518048</v>
      </c>
      <c r="Z120" s="105">
        <v>84.154611503299719</v>
      </c>
      <c r="AA120" s="105">
        <v>98.532280639860744</v>
      </c>
      <c r="AB120" s="105">
        <v>100.42268636610255</v>
      </c>
      <c r="AC120" s="105">
        <v>103.45220352358263</v>
      </c>
      <c r="AD120" s="105">
        <v>100.99384347114778</v>
      </c>
      <c r="AE120" s="105">
        <v>88.263457483384627</v>
      </c>
      <c r="AF120" s="106" t="s">
        <v>292</v>
      </c>
    </row>
    <row r="121" spans="2:32">
      <c r="B121" s="107" t="s">
        <v>519</v>
      </c>
      <c r="C121" s="102">
        <v>102.16032324741407</v>
      </c>
      <c r="D121" s="102">
        <v>108.4605724307814</v>
      </c>
      <c r="E121" s="103">
        <v>0.05</v>
      </c>
      <c r="F121" s="104" t="s">
        <v>261</v>
      </c>
      <c r="G121" s="104" t="s">
        <v>137</v>
      </c>
      <c r="H121" s="104" t="s">
        <v>140</v>
      </c>
      <c r="I121" s="105">
        <v>10</v>
      </c>
      <c r="J121" s="105">
        <v>1.1805555555555556</v>
      </c>
      <c r="K121" s="105">
        <v>74.178524563832923</v>
      </c>
      <c r="L121" s="105">
        <v>8.5</v>
      </c>
      <c r="M121" s="105">
        <v>80.47877374720025</v>
      </c>
      <c r="N121" s="105">
        <v>76.677299295998921</v>
      </c>
      <c r="O121" s="105">
        <v>82.977548479366249</v>
      </c>
      <c r="P121" s="105">
        <v>62.376949492655001</v>
      </c>
      <c r="Q121" s="105">
        <v>79.76369317620312</v>
      </c>
      <c r="R121" s="105">
        <v>83.593100329467063</v>
      </c>
      <c r="S121" s="105">
        <v>94.628306256381464</v>
      </c>
      <c r="T121" s="105">
        <v>96.432272019074375</v>
      </c>
      <c r="U121" s="105">
        <v>97.393334687386087</v>
      </c>
      <c r="V121" s="105">
        <v>95.038935458388764</v>
      </c>
      <c r="W121" s="105">
        <v>81.505781938030566</v>
      </c>
      <c r="X121" s="105">
        <v>66.001481014861355</v>
      </c>
      <c r="Y121" s="105">
        <v>85.473228771914421</v>
      </c>
      <c r="Z121" s="105">
        <v>88.855328482885284</v>
      </c>
      <c r="AA121" s="105">
        <v>99.998278329787382</v>
      </c>
      <c r="AB121" s="105">
        <v>101.52361515822818</v>
      </c>
      <c r="AC121" s="105">
        <v>103.9800871486969</v>
      </c>
      <c r="AD121" s="105">
        <v>102.54088689054647</v>
      </c>
      <c r="AE121" s="105">
        <v>89.091988264091469</v>
      </c>
      <c r="AF121" s="106" t="s">
        <v>293</v>
      </c>
    </row>
    <row r="122" spans="2:32">
      <c r="B122" s="107" t="s">
        <v>514</v>
      </c>
      <c r="C122" s="102">
        <v>100.31430920229398</v>
      </c>
      <c r="D122" s="102">
        <v>106.92619573337757</v>
      </c>
      <c r="E122" s="103">
        <v>0.05</v>
      </c>
      <c r="F122" s="104" t="s">
        <v>261</v>
      </c>
      <c r="G122" s="104" t="s">
        <v>137</v>
      </c>
      <c r="H122" s="104" t="s">
        <v>140</v>
      </c>
      <c r="I122" s="105">
        <v>10</v>
      </c>
      <c r="J122" s="105">
        <v>1.1805555555555556</v>
      </c>
      <c r="K122" s="105">
        <v>72.332510518712837</v>
      </c>
      <c r="L122" s="105">
        <v>8.5</v>
      </c>
      <c r="M122" s="105">
        <v>78.944397049796436</v>
      </c>
      <c r="N122" s="105">
        <v>74.831285250878835</v>
      </c>
      <c r="O122" s="105">
        <v>81.443171781962434</v>
      </c>
      <c r="P122" s="105">
        <v>63.4593106049645</v>
      </c>
      <c r="Q122" s="105">
        <v>77.224379919740016</v>
      </c>
      <c r="R122" s="105">
        <v>81.574780479561667</v>
      </c>
      <c r="S122" s="105">
        <v>90.698950832399504</v>
      </c>
      <c r="T122" s="105">
        <v>92.350775364816045</v>
      </c>
      <c r="U122" s="105">
        <v>96.607333411336214</v>
      </c>
      <c r="V122" s="105">
        <v>94.717831765434198</v>
      </c>
      <c r="W122" s="105">
        <v>80.684368734832475</v>
      </c>
      <c r="X122" s="105">
        <v>68.067862960527975</v>
      </c>
      <c r="Y122" s="105">
        <v>84.002036548766512</v>
      </c>
      <c r="Z122" s="105">
        <v>87.993997186265659</v>
      </c>
      <c r="AA122" s="105">
        <v>95.60643352453522</v>
      </c>
      <c r="AB122" s="105">
        <v>98.971580460837799</v>
      </c>
      <c r="AC122" s="105">
        <v>102.75052291990947</v>
      </c>
      <c r="AD122" s="105">
        <v>101.97034450966461</v>
      </c>
      <c r="AE122" s="105">
        <v>86.995149756357264</v>
      </c>
      <c r="AF122" s="106" t="s">
        <v>294</v>
      </c>
    </row>
    <row r="123" spans="2:32">
      <c r="B123" s="107" t="s">
        <v>497</v>
      </c>
      <c r="C123" s="102">
        <v>101.671895359091</v>
      </c>
      <c r="D123" s="102">
        <v>107.80037448397471</v>
      </c>
      <c r="E123" s="103">
        <v>0.05</v>
      </c>
      <c r="F123" s="104" t="s">
        <v>261</v>
      </c>
      <c r="G123" s="104" t="s">
        <v>137</v>
      </c>
      <c r="H123" s="104" t="s">
        <v>140</v>
      </c>
      <c r="I123" s="105">
        <v>10</v>
      </c>
      <c r="J123" s="105">
        <v>1.125</v>
      </c>
      <c r="K123" s="105">
        <v>73.690096675509849</v>
      </c>
      <c r="L123" s="105">
        <v>9</v>
      </c>
      <c r="M123" s="105">
        <v>79.81857580039356</v>
      </c>
      <c r="N123" s="105">
        <v>76.188871407675848</v>
      </c>
      <c r="O123" s="105">
        <v>82.317350532559558</v>
      </c>
      <c r="P123" s="105">
        <v>65.440228410644323</v>
      </c>
      <c r="Q123" s="105">
        <v>79.587371753125879</v>
      </c>
      <c r="R123" s="105">
        <v>85.061511929863357</v>
      </c>
      <c r="S123" s="105">
        <v>93.828286989893726</v>
      </c>
      <c r="T123" s="105">
        <v>94.125446048283052</v>
      </c>
      <c r="U123" s="105">
        <v>97.223542769791436</v>
      </c>
      <c r="V123" s="105">
        <v>95.875354622391242</v>
      </c>
      <c r="W123" s="105">
        <v>81.317921208190853</v>
      </c>
      <c r="X123" s="105">
        <v>69.444701552475493</v>
      </c>
      <c r="Y123" s="105">
        <v>84.065947590841759</v>
      </c>
      <c r="Z123" s="105">
        <v>92.065426025508884</v>
      </c>
      <c r="AA123" s="105">
        <v>98.704092547011982</v>
      </c>
      <c r="AB123" s="105">
        <v>98.996332632613999</v>
      </c>
      <c r="AC123" s="105">
        <v>103.1966909759844</v>
      </c>
      <c r="AD123" s="105">
        <v>103.30251417358062</v>
      </c>
      <c r="AE123" s="105">
        <v>88.288976887630213</v>
      </c>
      <c r="AF123" s="106" t="s">
        <v>295</v>
      </c>
    </row>
    <row r="124" spans="2:32">
      <c r="B124" s="107" t="s">
        <v>515</v>
      </c>
      <c r="C124" s="102">
        <v>83.676059517349728</v>
      </c>
      <c r="D124" s="102">
        <v>103.58209864022093</v>
      </c>
      <c r="E124" s="103">
        <v>0.25</v>
      </c>
      <c r="F124" s="104" t="s">
        <v>151</v>
      </c>
      <c r="G124" s="104" t="s">
        <v>133</v>
      </c>
      <c r="H124" s="104" t="s">
        <v>264</v>
      </c>
      <c r="I124" s="105">
        <v>10</v>
      </c>
      <c r="J124" s="105" t="s">
        <v>185</v>
      </c>
      <c r="K124" s="105">
        <v>55.7</v>
      </c>
      <c r="L124" s="105">
        <v>31</v>
      </c>
      <c r="M124" s="105">
        <v>75.589999999999975</v>
      </c>
      <c r="N124" s="105">
        <v>58.198774732166001</v>
      </c>
      <c r="O124" s="105">
        <v>78.088774732165973</v>
      </c>
      <c r="P124" s="105">
        <v>58.63209864022096</v>
      </c>
      <c r="Q124" s="105">
        <v>68.722098640220963</v>
      </c>
      <c r="R124" s="105">
        <v>75.392098640220965</v>
      </c>
      <c r="S124" s="105">
        <v>78.13209864022096</v>
      </c>
      <c r="T124" s="105">
        <v>78.862098640220964</v>
      </c>
      <c r="U124" s="105">
        <v>75.572098640220958</v>
      </c>
      <c r="V124" s="105">
        <v>70.392098640220965</v>
      </c>
      <c r="W124" s="105">
        <v>61.232098640220968</v>
      </c>
      <c r="X124" s="105">
        <v>72.146274202624056</v>
      </c>
      <c r="Y124" s="105">
        <v>81.676274202624057</v>
      </c>
      <c r="Z124" s="105">
        <v>94.98627420262406</v>
      </c>
      <c r="AA124" s="105">
        <v>98.976274202624055</v>
      </c>
      <c r="AB124" s="105">
        <v>99.586274202624068</v>
      </c>
      <c r="AC124" s="105">
        <v>92.696274202624068</v>
      </c>
      <c r="AD124" s="105">
        <v>87.726274202624055</v>
      </c>
      <c r="AE124" s="105">
        <v>77.356274202624064</v>
      </c>
      <c r="AF124" s="106" t="s">
        <v>96</v>
      </c>
    </row>
    <row r="125" spans="2:32">
      <c r="B125" s="107" t="s">
        <v>516</v>
      </c>
      <c r="C125" s="102">
        <v>90.581414328530499</v>
      </c>
      <c r="D125" s="102">
        <v>107.26209864022096</v>
      </c>
      <c r="E125" s="103">
        <v>0.25</v>
      </c>
      <c r="F125" s="104" t="s">
        <v>152</v>
      </c>
      <c r="G125" s="104" t="s">
        <v>133</v>
      </c>
      <c r="H125" s="104" t="s">
        <v>158</v>
      </c>
      <c r="I125" s="105">
        <v>10</v>
      </c>
      <c r="J125" s="105" t="s">
        <v>185</v>
      </c>
      <c r="K125" s="105">
        <v>62.61</v>
      </c>
      <c r="L125" s="105">
        <v>43</v>
      </c>
      <c r="M125" s="105">
        <v>79.27</v>
      </c>
      <c r="N125" s="105">
        <v>65.108774732165998</v>
      </c>
      <c r="O125" s="105">
        <v>81.768774732165994</v>
      </c>
      <c r="P125" s="105">
        <v>65.922098640220966</v>
      </c>
      <c r="Q125" s="105">
        <v>69.792098640220956</v>
      </c>
      <c r="R125" s="105">
        <v>77.492098640220959</v>
      </c>
      <c r="S125" s="105">
        <v>84.302098640220962</v>
      </c>
      <c r="T125" s="105">
        <v>85.562098640220967</v>
      </c>
      <c r="U125" s="105">
        <v>84.502098640220964</v>
      </c>
      <c r="V125" s="105">
        <v>81.612098640220964</v>
      </c>
      <c r="W125" s="105">
        <v>72.442098640220962</v>
      </c>
      <c r="X125" s="105">
        <v>76.16127958369357</v>
      </c>
      <c r="Y125" s="105">
        <v>88.02127958369357</v>
      </c>
      <c r="Z125" s="105">
        <v>90.041279583693566</v>
      </c>
      <c r="AA125" s="105">
        <v>99.901279583693565</v>
      </c>
      <c r="AB125" s="105">
        <v>102.06127958369356</v>
      </c>
      <c r="AC125" s="105">
        <v>100.84127958369356</v>
      </c>
      <c r="AD125" s="105">
        <v>100.87127958369356</v>
      </c>
      <c r="AE125" s="105">
        <v>91.281279583693575</v>
      </c>
      <c r="AF125" s="106" t="s">
        <v>97</v>
      </c>
    </row>
    <row r="126" spans="2:32">
      <c r="B126" s="107" t="s">
        <v>517</v>
      </c>
      <c r="C126" s="102">
        <v>89.182460006430503</v>
      </c>
      <c r="D126" s="102">
        <v>102.69209864022096</v>
      </c>
      <c r="E126" s="103">
        <v>0.1</v>
      </c>
      <c r="F126" s="104" t="s">
        <v>157</v>
      </c>
      <c r="G126" s="104" t="s">
        <v>149</v>
      </c>
      <c r="H126" s="104" t="s">
        <v>134</v>
      </c>
      <c r="I126" s="105">
        <v>10</v>
      </c>
      <c r="J126" s="105" t="s">
        <v>185</v>
      </c>
      <c r="K126" s="105">
        <v>61.25</v>
      </c>
      <c r="L126" s="105">
        <v>8</v>
      </c>
      <c r="M126" s="105">
        <v>74.7</v>
      </c>
      <c r="N126" s="105">
        <v>63.748774732165998</v>
      </c>
      <c r="O126" s="105">
        <v>77.198774732166001</v>
      </c>
      <c r="P126" s="105">
        <v>71.182098640220957</v>
      </c>
      <c r="Q126" s="105">
        <v>71.51209864022097</v>
      </c>
      <c r="R126" s="105">
        <v>76.702098640220967</v>
      </c>
      <c r="S126" s="105">
        <v>82.342098640220968</v>
      </c>
      <c r="T126" s="105">
        <v>85.902098640220956</v>
      </c>
      <c r="U126" s="105">
        <v>81.88209864022096</v>
      </c>
      <c r="V126" s="105">
        <v>75.352098640220959</v>
      </c>
      <c r="W126" s="105">
        <v>67.052098640220962</v>
      </c>
      <c r="X126" s="105">
        <v>85.57560244662811</v>
      </c>
      <c r="Y126" s="105">
        <v>83.43560244662811</v>
      </c>
      <c r="Z126" s="105">
        <v>88.865602446628102</v>
      </c>
      <c r="AA126" s="105">
        <v>96.1656024466281</v>
      </c>
      <c r="AB126" s="105">
        <v>99.645602446628104</v>
      </c>
      <c r="AC126" s="105">
        <v>94.745602446628098</v>
      </c>
      <c r="AD126" s="105">
        <v>88.775602446628113</v>
      </c>
      <c r="AE126" s="105">
        <v>81.655602446628109</v>
      </c>
      <c r="AF126" s="106" t="s">
        <v>99</v>
      </c>
    </row>
    <row r="127" spans="2:32">
      <c r="B127" s="107" t="s">
        <v>391</v>
      </c>
      <c r="C127" s="102">
        <v>86.32225107676831</v>
      </c>
      <c r="D127" s="102">
        <v>94.992098640220959</v>
      </c>
      <c r="E127" s="103">
        <v>0.1</v>
      </c>
      <c r="F127" s="104" t="s">
        <v>157</v>
      </c>
      <c r="G127" s="104" t="s">
        <v>149</v>
      </c>
      <c r="H127" s="104" t="s">
        <v>134</v>
      </c>
      <c r="I127" s="105">
        <v>10</v>
      </c>
      <c r="J127" s="105" t="s">
        <v>185</v>
      </c>
      <c r="K127" s="105">
        <v>58.4</v>
      </c>
      <c r="L127" s="105">
        <v>6</v>
      </c>
      <c r="M127" s="105">
        <v>67</v>
      </c>
      <c r="N127" s="105">
        <v>60.898774732165997</v>
      </c>
      <c r="O127" s="105">
        <v>69.498774732165998</v>
      </c>
      <c r="P127" s="105">
        <v>62.982098640220968</v>
      </c>
      <c r="Q127" s="105">
        <v>68.992098640220959</v>
      </c>
      <c r="R127" s="105">
        <v>74.062098640220967</v>
      </c>
      <c r="S127" s="105">
        <v>81.712098640220958</v>
      </c>
      <c r="T127" s="105">
        <v>81.822098640220958</v>
      </c>
      <c r="U127" s="105">
        <v>78.932098640220957</v>
      </c>
      <c r="V127" s="105">
        <v>71.102098640220959</v>
      </c>
      <c r="W127" s="105">
        <v>62.63209864022096</v>
      </c>
      <c r="X127" s="105">
        <v>69.866510503882395</v>
      </c>
      <c r="Y127" s="105">
        <v>77.746510503882405</v>
      </c>
      <c r="Z127" s="105">
        <v>84.566510503882398</v>
      </c>
      <c r="AA127" s="105">
        <v>90.316510503882398</v>
      </c>
      <c r="AB127" s="105">
        <v>89.596510503882399</v>
      </c>
      <c r="AC127" s="105">
        <v>88.286510503882397</v>
      </c>
      <c r="AD127" s="105">
        <v>81.186510503882403</v>
      </c>
      <c r="AE127" s="105">
        <v>69.466510503882404</v>
      </c>
      <c r="AF127" s="106" t="s">
        <v>100</v>
      </c>
    </row>
    <row r="128" spans="2:32">
      <c r="B128" s="107" t="s">
        <v>392</v>
      </c>
      <c r="C128" s="102">
        <v>84.1215364682418</v>
      </c>
      <c r="D128" s="102">
        <v>92.392098640220951</v>
      </c>
      <c r="E128" s="103">
        <v>0.05</v>
      </c>
      <c r="F128" s="104" t="s">
        <v>135</v>
      </c>
      <c r="G128" s="104" t="s">
        <v>133</v>
      </c>
      <c r="H128" s="104" t="s">
        <v>134</v>
      </c>
      <c r="I128" s="105">
        <v>10</v>
      </c>
      <c r="J128" s="105" t="s">
        <v>185</v>
      </c>
      <c r="K128" s="105">
        <v>56.14</v>
      </c>
      <c r="L128" s="105">
        <v>10</v>
      </c>
      <c r="M128" s="105">
        <v>64.399999999999991</v>
      </c>
      <c r="N128" s="105">
        <v>58.638774732165999</v>
      </c>
      <c r="O128" s="105">
        <v>66.89877473216599</v>
      </c>
      <c r="P128" s="105">
        <v>66.812098640220967</v>
      </c>
      <c r="Q128" s="105">
        <v>67.822098640220958</v>
      </c>
      <c r="R128" s="105">
        <v>73.412098640220961</v>
      </c>
      <c r="S128" s="105">
        <v>78.552098640220962</v>
      </c>
      <c r="T128" s="105">
        <v>80.102098640220959</v>
      </c>
      <c r="U128" s="105">
        <v>76.302098640220962</v>
      </c>
      <c r="V128" s="105">
        <v>68.542098640220956</v>
      </c>
      <c r="W128" s="105">
        <v>62.222098640220963</v>
      </c>
      <c r="X128" s="105">
        <v>71.60850817478719</v>
      </c>
      <c r="Y128" s="105">
        <v>75.388508174787177</v>
      </c>
      <c r="Z128" s="105">
        <v>82.468508174787189</v>
      </c>
      <c r="AA128" s="105">
        <v>85.628508174787186</v>
      </c>
      <c r="AB128" s="105">
        <v>89.378508174787186</v>
      </c>
      <c r="AC128" s="105">
        <v>83.048508174787187</v>
      </c>
      <c r="AD128" s="105">
        <v>77.528508174787177</v>
      </c>
      <c r="AE128" s="105">
        <v>72.678508174787183</v>
      </c>
      <c r="AF128" s="106" t="s">
        <v>111</v>
      </c>
    </row>
    <row r="129" spans="2:32">
      <c r="B129" s="107" t="s">
        <v>393</v>
      </c>
      <c r="C129" s="102">
        <v>86.238990317282472</v>
      </c>
      <c r="D129" s="102">
        <v>94.63209864022096</v>
      </c>
      <c r="E129" s="103">
        <v>0.05</v>
      </c>
      <c r="F129" s="104" t="s">
        <v>160</v>
      </c>
      <c r="G129" s="104" t="s">
        <v>149</v>
      </c>
      <c r="H129" s="104" t="s">
        <v>134</v>
      </c>
      <c r="I129" s="105">
        <v>10</v>
      </c>
      <c r="J129" s="105" t="s">
        <v>185</v>
      </c>
      <c r="K129" s="105">
        <v>58.3</v>
      </c>
      <c r="L129" s="105">
        <v>8</v>
      </c>
      <c r="M129" s="105">
        <v>66.64</v>
      </c>
      <c r="N129" s="105">
        <v>60.798774732165995</v>
      </c>
      <c r="O129" s="105">
        <v>69.138774732165999</v>
      </c>
      <c r="P129" s="105">
        <v>54.982098640220961</v>
      </c>
      <c r="Q129" s="105">
        <v>67.192098640220962</v>
      </c>
      <c r="R129" s="105">
        <v>73.242098640220959</v>
      </c>
      <c r="S129" s="105">
        <v>82.402098640220956</v>
      </c>
      <c r="T129" s="105">
        <v>81.832098640220963</v>
      </c>
      <c r="U129" s="105">
        <v>77.742098640220959</v>
      </c>
      <c r="V129" s="105">
        <v>68.572098640220958</v>
      </c>
      <c r="W129" s="105">
        <v>59.912098640220961</v>
      </c>
      <c r="X129" s="105">
        <v>62.586915094363391</v>
      </c>
      <c r="Y129" s="105">
        <v>75.146915094363393</v>
      </c>
      <c r="Z129" s="105">
        <v>80.396915094363393</v>
      </c>
      <c r="AA129" s="105">
        <v>91.636915094363388</v>
      </c>
      <c r="AB129" s="105">
        <v>89.826915094363386</v>
      </c>
      <c r="AC129" s="105">
        <v>84.916915094363389</v>
      </c>
      <c r="AD129" s="105">
        <v>74.366915094363392</v>
      </c>
      <c r="AE129" s="105">
        <v>67.036915094363394</v>
      </c>
      <c r="AF129" s="106" t="s">
        <v>111</v>
      </c>
    </row>
    <row r="130" spans="2:32">
      <c r="B130" s="107" t="s">
        <v>394</v>
      </c>
      <c r="C130" s="102">
        <v>81.364488524082077</v>
      </c>
      <c r="D130" s="102">
        <v>89.802098640220947</v>
      </c>
      <c r="E130" s="103">
        <v>0.05</v>
      </c>
      <c r="F130" s="104" t="s">
        <v>151</v>
      </c>
      <c r="G130" s="104" t="s">
        <v>133</v>
      </c>
      <c r="H130" s="104" t="s">
        <v>134</v>
      </c>
      <c r="I130" s="105">
        <v>10</v>
      </c>
      <c r="J130" s="105" t="s">
        <v>185</v>
      </c>
      <c r="K130" s="105">
        <v>53.37</v>
      </c>
      <c r="L130" s="105">
        <v>16</v>
      </c>
      <c r="M130" s="105">
        <v>61.809999999999988</v>
      </c>
      <c r="N130" s="105">
        <v>55.868774732165996</v>
      </c>
      <c r="O130" s="105">
        <v>64.308774732165986</v>
      </c>
      <c r="P130" s="105">
        <v>63.712098640220958</v>
      </c>
      <c r="Q130" s="105">
        <v>70.732098640220968</v>
      </c>
      <c r="R130" s="105">
        <v>76.562098640220967</v>
      </c>
      <c r="S130" s="105">
        <v>73.182098640220957</v>
      </c>
      <c r="T130" s="105">
        <v>74.122098640220969</v>
      </c>
      <c r="U130" s="105">
        <v>72.992098640220959</v>
      </c>
      <c r="V130" s="105">
        <v>69.572098640220958</v>
      </c>
      <c r="W130" s="105">
        <v>62.542098640220956</v>
      </c>
      <c r="X130" s="105">
        <v>65.05473494135677</v>
      </c>
      <c r="Y130" s="105">
        <v>79.55473494135677</v>
      </c>
      <c r="Z130" s="105">
        <v>86.344734941356776</v>
      </c>
      <c r="AA130" s="105">
        <v>80.974734941356772</v>
      </c>
      <c r="AB130" s="105">
        <v>81.814734941356775</v>
      </c>
      <c r="AC130" s="105">
        <v>80.494734941356768</v>
      </c>
      <c r="AD130" s="105">
        <v>75.644734941356774</v>
      </c>
      <c r="AE130" s="105">
        <v>67.174734941356775</v>
      </c>
      <c r="AF130" s="106" t="s">
        <v>112</v>
      </c>
    </row>
    <row r="131" spans="2:32">
      <c r="B131" s="107" t="s">
        <v>518</v>
      </c>
      <c r="C131" s="102">
        <v>98.12194214103279</v>
      </c>
      <c r="D131" s="102">
        <v>111.34088176128249</v>
      </c>
      <c r="E131" s="103">
        <v>0.1</v>
      </c>
      <c r="F131" s="104" t="s">
        <v>152</v>
      </c>
      <c r="G131" s="104" t="s">
        <v>185</v>
      </c>
      <c r="H131" s="104" t="s">
        <v>134</v>
      </c>
      <c r="I131" s="105">
        <v>10</v>
      </c>
      <c r="J131" s="105" t="s">
        <v>185</v>
      </c>
      <c r="K131" s="105">
        <v>70.140143457451643</v>
      </c>
      <c r="L131" s="105">
        <v>19</v>
      </c>
      <c r="M131" s="105">
        <v>83.359083077701342</v>
      </c>
      <c r="N131" s="105">
        <v>72.638918189617641</v>
      </c>
      <c r="O131" s="105">
        <v>85.85785780986734</v>
      </c>
      <c r="P131" s="105">
        <v>57.641206185835131</v>
      </c>
      <c r="Q131" s="105">
        <v>66.262867592657045</v>
      </c>
      <c r="R131" s="105">
        <v>74.615901651101211</v>
      </c>
      <c r="S131" s="105">
        <v>90.217723040526067</v>
      </c>
      <c r="T131" s="105">
        <v>95.18198909718646</v>
      </c>
      <c r="U131" s="105">
        <v>91.993821042379395</v>
      </c>
      <c r="V131" s="105">
        <v>86.001666718825433</v>
      </c>
      <c r="W131" s="105">
        <v>80.988917126243749</v>
      </c>
      <c r="X131" s="105">
        <v>61.625408577896806</v>
      </c>
      <c r="Y131" s="105">
        <v>80.949158509424819</v>
      </c>
      <c r="Z131" s="105">
        <v>87.347011590994228</v>
      </c>
      <c r="AA131" s="105">
        <v>104.18207201015811</v>
      </c>
      <c r="AB131" s="105">
        <v>108.58952087135275</v>
      </c>
      <c r="AC131" s="105">
        <v>104.49483672346788</v>
      </c>
      <c r="AD131" s="105">
        <v>98.124584911045105</v>
      </c>
      <c r="AE131" s="105">
        <v>93.795749268266832</v>
      </c>
      <c r="AF131" s="106" t="s">
        <v>121</v>
      </c>
    </row>
    <row r="132" spans="2:32">
      <c r="B132" s="107" t="s">
        <v>395</v>
      </c>
      <c r="C132" s="102">
        <v>86.049366599625174</v>
      </c>
      <c r="D132" s="102">
        <v>99.41656299047871</v>
      </c>
      <c r="E132" s="103">
        <v>0.1</v>
      </c>
      <c r="F132" s="104" t="s">
        <v>152</v>
      </c>
      <c r="G132" s="104" t="s">
        <v>185</v>
      </c>
      <c r="H132" s="122" t="s">
        <v>264</v>
      </c>
      <c r="I132" s="105">
        <v>10</v>
      </c>
      <c r="J132" s="105" t="s">
        <v>185</v>
      </c>
      <c r="K132" s="105">
        <v>58.067567916044027</v>
      </c>
      <c r="L132" s="105">
        <v>10</v>
      </c>
      <c r="M132" s="105">
        <v>71.434764306897563</v>
      </c>
      <c r="N132" s="105">
        <v>60.566342648210025</v>
      </c>
      <c r="O132" s="105">
        <v>73.933539039063561</v>
      </c>
      <c r="P132" s="105">
        <v>60.10727168969666</v>
      </c>
      <c r="Q132" s="105">
        <v>61.301555750997181</v>
      </c>
      <c r="R132" s="105">
        <v>77.00361016758113</v>
      </c>
      <c r="S132" s="105">
        <v>79.990972865731692</v>
      </c>
      <c r="T132" s="105">
        <v>79.272070449134659</v>
      </c>
      <c r="U132" s="105">
        <v>79.955419528451372</v>
      </c>
      <c r="V132" s="105">
        <v>77.783890987929965</v>
      </c>
      <c r="W132" s="105">
        <v>68.293861557396582</v>
      </c>
      <c r="X132" s="105">
        <v>64.30314024422232</v>
      </c>
      <c r="Y132" s="105">
        <v>71.020830237157071</v>
      </c>
      <c r="Z132" s="105">
        <v>91.627825027702983</v>
      </c>
      <c r="AA132" s="105">
        <v>93.41387639446863</v>
      </c>
      <c r="AB132" s="105">
        <v>92.76046500170861</v>
      </c>
      <c r="AC132" s="105">
        <v>92.696961235967422</v>
      </c>
      <c r="AD132" s="105">
        <v>90.894333672743002</v>
      </c>
      <c r="AE132" s="105">
        <v>80.018908609466052</v>
      </c>
      <c r="AF132" s="106" t="s">
        <v>122</v>
      </c>
    </row>
    <row r="133" spans="2:32">
      <c r="B133" s="94"/>
      <c r="C133" s="102"/>
      <c r="D133" s="102"/>
      <c r="E133" s="103"/>
      <c r="F133" s="104"/>
      <c r="G133" s="104"/>
      <c r="H133" s="104"/>
      <c r="I133" s="105"/>
      <c r="J133" s="105"/>
      <c r="K133" s="105"/>
      <c r="L133" s="105"/>
      <c r="M133" s="105"/>
      <c r="N133" s="105"/>
      <c r="O133" s="105"/>
      <c r="P133" s="105"/>
      <c r="Q133" s="105"/>
      <c r="R133" s="105"/>
      <c r="S133" s="105"/>
      <c r="T133" s="105"/>
      <c r="U133" s="105"/>
      <c r="V133" s="105"/>
      <c r="W133" s="105"/>
      <c r="X133" s="105"/>
      <c r="Y133" s="105"/>
      <c r="Z133" s="105"/>
      <c r="AA133" s="105"/>
      <c r="AB133" s="105"/>
      <c r="AC133" s="105"/>
      <c r="AD133" s="105"/>
      <c r="AE133" s="105"/>
      <c r="AF133" s="106"/>
    </row>
    <row r="134" spans="2:32">
      <c r="B134" s="98" t="s">
        <v>296</v>
      </c>
      <c r="C134" s="98"/>
      <c r="D134" s="98"/>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row>
    <row r="135" spans="2:32">
      <c r="B135" s="101" t="s">
        <v>185</v>
      </c>
      <c r="C135" s="102"/>
      <c r="D135" s="102"/>
      <c r="E135" s="103"/>
      <c r="F135" s="104"/>
      <c r="G135" s="104"/>
      <c r="H135" s="104"/>
      <c r="I135" s="105"/>
      <c r="J135" s="105"/>
      <c r="K135" s="105"/>
      <c r="L135" s="105"/>
      <c r="M135" s="105"/>
      <c r="N135" s="105"/>
      <c r="O135" s="105"/>
      <c r="P135" s="105"/>
      <c r="Q135" s="105"/>
      <c r="R135" s="105"/>
      <c r="S135" s="105"/>
      <c r="T135" s="105"/>
      <c r="U135" s="105"/>
      <c r="V135" s="105"/>
      <c r="W135" s="105"/>
      <c r="X135" s="105"/>
      <c r="Y135" s="105"/>
      <c r="Z135" s="105"/>
      <c r="AA135" s="105"/>
      <c r="AB135" s="105"/>
      <c r="AC135" s="105"/>
      <c r="AD135" s="105"/>
      <c r="AE135" s="105"/>
      <c r="AF135" s="106"/>
    </row>
    <row r="136" spans="2:32">
      <c r="B136" s="107" t="s">
        <v>396</v>
      </c>
      <c r="C136" s="102">
        <v>94.966659445485234</v>
      </c>
      <c r="D136" s="102">
        <v>97.311425382356489</v>
      </c>
      <c r="E136" s="103">
        <v>0.05</v>
      </c>
      <c r="F136" s="104" t="s">
        <v>301</v>
      </c>
      <c r="G136" s="104" t="s">
        <v>185</v>
      </c>
      <c r="H136" s="104" t="s">
        <v>159</v>
      </c>
      <c r="I136" s="105">
        <v>7</v>
      </c>
      <c r="J136" s="105" t="s">
        <v>185</v>
      </c>
      <c r="K136" s="105">
        <v>70.082899961618949</v>
      </c>
      <c r="L136" s="105">
        <v>14</v>
      </c>
      <c r="M136" s="105">
        <v>72.427665898490204</v>
      </c>
      <c r="N136" s="105">
        <v>69.483635494070086</v>
      </c>
      <c r="O136" s="105">
        <v>71.828401430941341</v>
      </c>
      <c r="P136" s="105">
        <v>65.846924171893477</v>
      </c>
      <c r="Q136" s="105">
        <v>73.290006500837791</v>
      </c>
      <c r="R136" s="105">
        <v>78.773097489487753</v>
      </c>
      <c r="S136" s="105">
        <v>84.551441154927119</v>
      </c>
      <c r="T136" s="105">
        <v>91.835889462842033</v>
      </c>
      <c r="U136" s="105">
        <v>90.488635043625322</v>
      </c>
      <c r="V136" s="105">
        <v>80.094434775782858</v>
      </c>
      <c r="W136" s="105">
        <v>66.927812565624336</v>
      </c>
      <c r="X136" s="105">
        <v>69.660848181635188</v>
      </c>
      <c r="Y136" s="105">
        <v>77.099545567254196</v>
      </c>
      <c r="Z136" s="105">
        <v>82.183956528451361</v>
      </c>
      <c r="AA136" s="105">
        <v>87.14213044892179</v>
      </c>
      <c r="AB136" s="105">
        <v>94.103379540693183</v>
      </c>
      <c r="AC136" s="105">
        <v>92.697354390250894</v>
      </c>
      <c r="AD136" s="105">
        <v>83.010860990256006</v>
      </c>
      <c r="AE136" s="105">
        <v>68.663990333267137</v>
      </c>
      <c r="AF136" s="106" t="s">
        <v>302</v>
      </c>
    </row>
    <row r="137" spans="2:32">
      <c r="B137" s="107" t="s">
        <v>536</v>
      </c>
      <c r="C137" s="102">
        <v>83.795633135831892</v>
      </c>
      <c r="D137" s="102">
        <v>90.203628871509707</v>
      </c>
      <c r="E137" s="103">
        <v>0.01</v>
      </c>
      <c r="F137" s="104"/>
      <c r="G137" s="104"/>
      <c r="H137" s="104"/>
      <c r="I137" s="105">
        <v>14.642857142857142</v>
      </c>
      <c r="J137" s="105"/>
      <c r="K137" s="105">
        <v>56.828776601927807</v>
      </c>
      <c r="L137" s="105">
        <v>3.75</v>
      </c>
      <c r="M137" s="105">
        <v>62.387142857142848</v>
      </c>
      <c r="N137" s="105">
        <v>61.896352455816277</v>
      </c>
      <c r="O137" s="105">
        <v>68.198434096859174</v>
      </c>
      <c r="P137" s="105">
        <v>58.128110094422581</v>
      </c>
      <c r="Q137" s="105">
        <v>61.959826281893669</v>
      </c>
      <c r="R137" s="105">
        <v>71.639776344966307</v>
      </c>
      <c r="S137" s="105">
        <v>72.072997235029007</v>
      </c>
      <c r="T137" s="105">
        <v>79.154756156702192</v>
      </c>
      <c r="U137" s="105">
        <v>78.379605592202537</v>
      </c>
      <c r="V137" s="105">
        <v>76.65509049655239</v>
      </c>
      <c r="W137" s="105">
        <v>69.662086730472652</v>
      </c>
      <c r="X137" s="105"/>
      <c r="Y137" s="105"/>
      <c r="Z137" s="105"/>
      <c r="AA137" s="105"/>
      <c r="AB137" s="105"/>
      <c r="AC137" s="105"/>
      <c r="AD137" s="105"/>
      <c r="AE137" s="105"/>
      <c r="AF137" s="106" t="s">
        <v>307</v>
      </c>
    </row>
    <row r="138" spans="2:32">
      <c r="B138" s="107" t="s">
        <v>538</v>
      </c>
      <c r="C138" s="102">
        <v>95.257586740286115</v>
      </c>
      <c r="D138" s="102">
        <v>107.30324255596753</v>
      </c>
      <c r="E138" s="103">
        <v>0.1</v>
      </c>
      <c r="F138" s="104"/>
      <c r="G138" s="104"/>
      <c r="H138" s="104"/>
      <c r="I138" s="105">
        <v>12.466666666666669</v>
      </c>
      <c r="J138" s="105"/>
      <c r="K138" s="105">
        <v>70.223496608515006</v>
      </c>
      <c r="L138" s="105">
        <v>76.541666666666671</v>
      </c>
      <c r="M138" s="105">
        <v>82.929999999999993</v>
      </c>
      <c r="N138" s="105">
        <v>75.70285452805382</v>
      </c>
      <c r="O138" s="105">
        <v>87.343781681782346</v>
      </c>
      <c r="P138" s="105">
        <v>72.302436108406638</v>
      </c>
      <c r="Q138" s="105">
        <v>78.224771656232164</v>
      </c>
      <c r="R138" s="105">
        <v>85.106756762761478</v>
      </c>
      <c r="S138" s="105">
        <v>86.271660776120385</v>
      </c>
      <c r="T138" s="105">
        <v>90.982970430517724</v>
      </c>
      <c r="U138" s="105">
        <v>88.622492541568235</v>
      </c>
      <c r="V138" s="105">
        <v>85.714019203754091</v>
      </c>
      <c r="W138" s="105">
        <v>75.238862292441524</v>
      </c>
      <c r="X138" s="105"/>
      <c r="Y138" s="105"/>
      <c r="Z138" s="105"/>
      <c r="AA138" s="105"/>
      <c r="AB138" s="105"/>
      <c r="AC138" s="105"/>
      <c r="AD138" s="105"/>
      <c r="AE138" s="105"/>
      <c r="AF138" s="106" t="s">
        <v>311</v>
      </c>
    </row>
    <row r="139" spans="2:32">
      <c r="B139" s="107" t="s">
        <v>397</v>
      </c>
      <c r="C139" s="102">
        <v>85.760551353980219</v>
      </c>
      <c r="D139" s="102">
        <v>104.07389465087729</v>
      </c>
      <c r="E139" s="103">
        <v>0.25</v>
      </c>
      <c r="F139" s="104" t="s">
        <v>67</v>
      </c>
      <c r="G139" s="104" t="s">
        <v>181</v>
      </c>
      <c r="H139" s="104" t="s">
        <v>306</v>
      </c>
      <c r="I139" s="105">
        <v>13.4</v>
      </c>
      <c r="J139" s="105"/>
      <c r="K139" s="105">
        <v>58.236656703102916</v>
      </c>
      <c r="L139" s="105">
        <v>81.75</v>
      </c>
      <c r="M139" s="105">
        <v>76.55</v>
      </c>
      <c r="N139" s="105">
        <v>65.286828447796935</v>
      </c>
      <c r="O139" s="105">
        <v>81.590870699462144</v>
      </c>
      <c r="P139" s="105">
        <v>62.281319328977105</v>
      </c>
      <c r="Q139" s="105">
        <v>66.212367346754661</v>
      </c>
      <c r="R139" s="105">
        <v>71.287219985345956</v>
      </c>
      <c r="S139" s="105">
        <v>76.758776545333546</v>
      </c>
      <c r="T139" s="105">
        <v>81.067164892369703</v>
      </c>
      <c r="U139" s="105">
        <v>79.802372860937496</v>
      </c>
      <c r="V139" s="105">
        <v>78.98119504055731</v>
      </c>
      <c r="W139" s="105">
        <v>68.764225583105585</v>
      </c>
      <c r="X139" s="105"/>
      <c r="Y139" s="105"/>
      <c r="Z139" s="105"/>
      <c r="AA139" s="105"/>
      <c r="AB139" s="105"/>
      <c r="AC139" s="105"/>
      <c r="AD139" s="105"/>
      <c r="AE139" s="105"/>
      <c r="AF139" s="106" t="s">
        <v>306</v>
      </c>
    </row>
    <row r="140" spans="2:32">
      <c r="B140" s="107" t="s">
        <v>535</v>
      </c>
      <c r="C140" s="102">
        <v>79.188084468592464</v>
      </c>
      <c r="D140" s="102">
        <v>92.097014817807818</v>
      </c>
      <c r="E140" s="103">
        <v>0.1</v>
      </c>
      <c r="F140" s="104"/>
      <c r="G140" s="104"/>
      <c r="H140" s="104"/>
      <c r="I140" s="105">
        <v>10.65</v>
      </c>
      <c r="J140" s="105"/>
      <c r="K140" s="105">
        <v>59.370152781633145</v>
      </c>
      <c r="L140" s="105">
        <v>19.625</v>
      </c>
      <c r="M140" s="105">
        <v>70.06</v>
      </c>
      <c r="N140" s="105">
        <v>59.826307126522565</v>
      </c>
      <c r="O140" s="105">
        <v>73.105766887661133</v>
      </c>
      <c r="P140" s="105">
        <v>49.676372366299674</v>
      </c>
      <c r="Q140" s="105">
        <v>57.523932993188247</v>
      </c>
      <c r="R140" s="105">
        <v>64.703990001270185</v>
      </c>
      <c r="S140" s="105">
        <v>69.777200088896819</v>
      </c>
      <c r="T140" s="105">
        <v>73.356867787924315</v>
      </c>
      <c r="U140" s="105">
        <v>72.78254642738851</v>
      </c>
      <c r="V140" s="105">
        <v>73.43493627047323</v>
      </c>
      <c r="W140" s="105">
        <v>68.538476745443333</v>
      </c>
      <c r="X140" s="105"/>
      <c r="Y140" s="105"/>
      <c r="Z140" s="105"/>
      <c r="AA140" s="105"/>
      <c r="AB140" s="105"/>
      <c r="AC140" s="105"/>
      <c r="AD140" s="105"/>
      <c r="AE140" s="105"/>
      <c r="AF140" s="106" t="s">
        <v>309</v>
      </c>
    </row>
    <row r="141" spans="2:32">
      <c r="B141" s="107" t="s">
        <v>520</v>
      </c>
      <c r="C141" s="102">
        <v>89.984968125714417</v>
      </c>
      <c r="D141" s="102">
        <v>103.23209864022097</v>
      </c>
      <c r="E141" s="103">
        <v>0.2</v>
      </c>
      <c r="F141" s="104" t="s">
        <v>151</v>
      </c>
      <c r="G141" s="104" t="s">
        <v>149</v>
      </c>
      <c r="H141" s="104" t="s">
        <v>134</v>
      </c>
      <c r="I141" s="105">
        <v>10</v>
      </c>
      <c r="J141" s="105" t="s">
        <v>185</v>
      </c>
      <c r="K141" s="105">
        <v>62.02</v>
      </c>
      <c r="L141" s="105">
        <v>31</v>
      </c>
      <c r="M141" s="105">
        <v>75.240000000000009</v>
      </c>
      <c r="N141" s="105">
        <v>64.518774732166008</v>
      </c>
      <c r="O141" s="105">
        <v>77.738774732166007</v>
      </c>
      <c r="P141" s="105">
        <v>57.402098640220963</v>
      </c>
      <c r="Q141" s="105">
        <v>64.442098640220962</v>
      </c>
      <c r="R141" s="105">
        <v>75.722098640220963</v>
      </c>
      <c r="S141" s="105">
        <v>83.832098640220963</v>
      </c>
      <c r="T141" s="105">
        <v>86.202098640220967</v>
      </c>
      <c r="U141" s="105">
        <v>83.612098640220964</v>
      </c>
      <c r="V141" s="105">
        <v>77.692098640220962</v>
      </c>
      <c r="W141" s="105">
        <v>69.362098640220964</v>
      </c>
      <c r="X141" s="105">
        <v>74.291258669221293</v>
      </c>
      <c r="Y141" s="105">
        <v>72.571258669221294</v>
      </c>
      <c r="Z141" s="105">
        <v>90.211258669221294</v>
      </c>
      <c r="AA141" s="105">
        <v>96.881258669221296</v>
      </c>
      <c r="AB141" s="105">
        <v>99.601258669221295</v>
      </c>
      <c r="AC141" s="105">
        <v>96.231258669221305</v>
      </c>
      <c r="AD141" s="105">
        <v>91.8612586692213</v>
      </c>
      <c r="AE141" s="105">
        <v>83.421258669221302</v>
      </c>
      <c r="AF141" s="106" t="s">
        <v>300</v>
      </c>
    </row>
    <row r="142" spans="2:32">
      <c r="B142" s="107" t="s">
        <v>398</v>
      </c>
      <c r="C142" s="102">
        <v>75.063031068179143</v>
      </c>
      <c r="D142" s="102">
        <v>97.32965238674565</v>
      </c>
      <c r="E142" s="103">
        <v>0.1</v>
      </c>
      <c r="F142" s="104" t="s">
        <v>67</v>
      </c>
      <c r="G142" s="104" t="s">
        <v>181</v>
      </c>
      <c r="H142" s="104" t="s">
        <v>308</v>
      </c>
      <c r="I142" s="105">
        <v>11</v>
      </c>
      <c r="J142" s="105"/>
      <c r="K142" s="105">
        <v>49.253378681433489</v>
      </c>
      <c r="L142" s="105">
        <v>140.75</v>
      </c>
      <c r="M142" s="105">
        <v>71.52</v>
      </c>
      <c r="N142" s="105">
        <v>59.388850351118428</v>
      </c>
      <c r="O142" s="105">
        <v>74.846628435330501</v>
      </c>
      <c r="P142" s="105">
        <v>44.862483780459378</v>
      </c>
      <c r="Q142" s="105">
        <v>56.210135873809364</v>
      </c>
      <c r="R142" s="105">
        <v>66.833847127917394</v>
      </c>
      <c r="S142" s="105">
        <v>64.401309461176794</v>
      </c>
      <c r="T142" s="105">
        <v>69.336307491701689</v>
      </c>
      <c r="U142" s="105">
        <v>70.660764077508617</v>
      </c>
      <c r="V142" s="105">
        <v>64.571320392090598</v>
      </c>
      <c r="W142" s="105">
        <v>59.852456051914217</v>
      </c>
      <c r="X142" s="105"/>
      <c r="Y142" s="105"/>
      <c r="Z142" s="105"/>
      <c r="AA142" s="105"/>
      <c r="AB142" s="105"/>
      <c r="AC142" s="105"/>
      <c r="AD142" s="105"/>
      <c r="AE142" s="105"/>
      <c r="AF142" s="106" t="s">
        <v>308</v>
      </c>
    </row>
    <row r="143" spans="2:32">
      <c r="B143" s="107" t="s">
        <v>399</v>
      </c>
      <c r="C143" s="102">
        <v>90.08747328287285</v>
      </c>
      <c r="D143" s="102">
        <v>91.168448612206532</v>
      </c>
      <c r="E143" s="103">
        <v>0.05</v>
      </c>
      <c r="F143" s="104" t="s">
        <v>67</v>
      </c>
      <c r="G143" s="104" t="s">
        <v>305</v>
      </c>
      <c r="H143" s="104" t="s">
        <v>159</v>
      </c>
      <c r="I143" s="105">
        <v>7.2</v>
      </c>
      <c r="J143" s="105"/>
      <c r="K143" s="105">
        <v>67.959024670666338</v>
      </c>
      <c r="L143" s="105">
        <v>48.75</v>
      </c>
      <c r="M143" s="105">
        <v>69.040000000000006</v>
      </c>
      <c r="N143" s="105">
        <v>67.627933833214854</v>
      </c>
      <c r="O143" s="105">
        <v>68.685424660791369</v>
      </c>
      <c r="P143" s="105">
        <v>66.508565208850953</v>
      </c>
      <c r="Q143" s="105">
        <v>64.289951568260278</v>
      </c>
      <c r="R143" s="105">
        <v>71.131922039884032</v>
      </c>
      <c r="S143" s="105">
        <v>81.80054966706814</v>
      </c>
      <c r="T143" s="105">
        <v>85.490911498877551</v>
      </c>
      <c r="U143" s="105">
        <v>85.786692945454547</v>
      </c>
      <c r="V143" s="105">
        <v>80.488023121737967</v>
      </c>
      <c r="W143" s="105">
        <v>65.844606742453635</v>
      </c>
      <c r="X143" s="105"/>
      <c r="Y143" s="105"/>
      <c r="Z143" s="105"/>
      <c r="AA143" s="105"/>
      <c r="AB143" s="105"/>
      <c r="AC143" s="105"/>
      <c r="AD143" s="105"/>
      <c r="AE143" s="105"/>
      <c r="AF143" s="106" t="s">
        <v>159</v>
      </c>
    </row>
    <row r="144" spans="2:32">
      <c r="B144" s="107" t="s">
        <v>400</v>
      </c>
      <c r="C144" s="102">
        <v>92.348859341766484</v>
      </c>
      <c r="D144" s="102">
        <v>94.985470163105802</v>
      </c>
      <c r="E144" s="103">
        <v>0.05</v>
      </c>
      <c r="F144" s="104" t="s">
        <v>178</v>
      </c>
      <c r="G144" s="104" t="s">
        <v>181</v>
      </c>
      <c r="H144" s="104" t="s">
        <v>159</v>
      </c>
      <c r="I144" s="105">
        <v>7.5</v>
      </c>
      <c r="J144" s="105"/>
      <c r="K144" s="105">
        <v>66.855535433711523</v>
      </c>
      <c r="L144" s="105">
        <v>42.5</v>
      </c>
      <c r="M144" s="105">
        <v>69.492146255050841</v>
      </c>
      <c r="N144" s="105">
        <v>66.855535433711523</v>
      </c>
      <c r="O144" s="105">
        <v>69.492146255050841</v>
      </c>
      <c r="P144" s="105">
        <v>66.076793700263337</v>
      </c>
      <c r="Q144" s="105">
        <v>71.467411454675229</v>
      </c>
      <c r="R144" s="105">
        <v>78.1720680222721</v>
      </c>
      <c r="S144" s="105">
        <v>83.129927402726025</v>
      </c>
      <c r="T144" s="105">
        <v>88.059411400820963</v>
      </c>
      <c r="U144" s="105">
        <v>88.237408533172584</v>
      </c>
      <c r="V144" s="105">
        <v>80.467882331874335</v>
      </c>
      <c r="W144" s="105">
        <v>67.59032849737757</v>
      </c>
      <c r="X144" s="105"/>
      <c r="Y144" s="105"/>
      <c r="Z144" s="105"/>
      <c r="AA144" s="105"/>
      <c r="AB144" s="105"/>
      <c r="AC144" s="105"/>
      <c r="AD144" s="105"/>
      <c r="AE144" s="105"/>
      <c r="AF144" s="106" t="s">
        <v>303</v>
      </c>
    </row>
    <row r="145" spans="2:32">
      <c r="B145" s="107" t="s">
        <v>401</v>
      </c>
      <c r="C145" s="102">
        <v>90.212648456323535</v>
      </c>
      <c r="D145" s="102">
        <v>91.412948412963345</v>
      </c>
      <c r="E145" s="103">
        <v>0.05</v>
      </c>
      <c r="F145" s="104" t="s">
        <v>179</v>
      </c>
      <c r="G145" s="104" t="s">
        <v>181</v>
      </c>
      <c r="H145" s="104" t="s">
        <v>159</v>
      </c>
      <c r="I145" s="105">
        <v>7.5</v>
      </c>
      <c r="J145" s="105"/>
      <c r="K145" s="105">
        <v>64.719324548268574</v>
      </c>
      <c r="L145" s="105">
        <v>7.5</v>
      </c>
      <c r="M145" s="105">
        <v>65.919624504908384</v>
      </c>
      <c r="N145" s="105">
        <v>64.719324548268574</v>
      </c>
      <c r="O145" s="105">
        <v>65.919624504908384</v>
      </c>
      <c r="P145" s="105">
        <v>61.601082596203149</v>
      </c>
      <c r="Q145" s="105">
        <v>68.546065963928655</v>
      </c>
      <c r="R145" s="105">
        <v>79.728384892714971</v>
      </c>
      <c r="S145" s="105">
        <v>83.188335336240172</v>
      </c>
      <c r="T145" s="105">
        <v>85.306216960196593</v>
      </c>
      <c r="U145" s="105">
        <v>84.712158290464274</v>
      </c>
      <c r="V145" s="105">
        <v>79.493902900160904</v>
      </c>
      <c r="W145" s="105">
        <v>67.591021808649231</v>
      </c>
      <c r="X145" s="105"/>
      <c r="Y145" s="105"/>
      <c r="Z145" s="105"/>
      <c r="AA145" s="105"/>
      <c r="AB145" s="105"/>
      <c r="AC145" s="105"/>
      <c r="AD145" s="105"/>
      <c r="AE145" s="105"/>
      <c r="AF145" s="106" t="s">
        <v>304</v>
      </c>
    </row>
    <row r="146" spans="2:32">
      <c r="B146" s="107" t="s">
        <v>402</v>
      </c>
      <c r="C146" s="102">
        <v>74.581147906132813</v>
      </c>
      <c r="D146" s="102">
        <v>78.361912798336661</v>
      </c>
      <c r="E146" s="103">
        <v>0.05</v>
      </c>
      <c r="F146" s="104" t="s">
        <v>180</v>
      </c>
      <c r="G146" s="104" t="s">
        <v>181</v>
      </c>
      <c r="H146" s="104" t="s">
        <v>159</v>
      </c>
      <c r="I146" s="105">
        <v>7.5</v>
      </c>
      <c r="J146" s="105"/>
      <c r="K146" s="105">
        <v>49.087823998077845</v>
      </c>
      <c r="L146" s="105">
        <v>10</v>
      </c>
      <c r="M146" s="105">
        <v>52.8685888902817</v>
      </c>
      <c r="N146" s="105">
        <v>49.087823998077845</v>
      </c>
      <c r="O146" s="105">
        <v>52.8685888902817</v>
      </c>
      <c r="P146" s="105">
        <v>55.175879774781869</v>
      </c>
      <c r="Q146" s="105">
        <v>59.642735502626351</v>
      </c>
      <c r="R146" s="105">
        <v>60.214747812385205</v>
      </c>
      <c r="S146" s="105">
        <v>66.486044559533269</v>
      </c>
      <c r="T146" s="105">
        <v>72.167014472346736</v>
      </c>
      <c r="U146" s="105">
        <v>65.145266194745929</v>
      </c>
      <c r="V146" s="105">
        <v>62.560311151507278</v>
      </c>
      <c r="W146" s="105">
        <v>59.21908373717735</v>
      </c>
      <c r="X146" s="105"/>
      <c r="Y146" s="105"/>
      <c r="Z146" s="105"/>
      <c r="AA146" s="105"/>
      <c r="AB146" s="105"/>
      <c r="AC146" s="105"/>
      <c r="AD146" s="105"/>
      <c r="AE146" s="105"/>
      <c r="AF146" s="106" t="s">
        <v>425</v>
      </c>
    </row>
    <row r="147" spans="2:32">
      <c r="B147" s="107" t="s">
        <v>537</v>
      </c>
      <c r="C147" s="102">
        <v>96.349321464312396</v>
      </c>
      <c r="D147" s="102">
        <v>97.154026014881296</v>
      </c>
      <c r="E147" s="103">
        <v>0.01</v>
      </c>
      <c r="F147" s="104"/>
      <c r="G147" s="104"/>
      <c r="H147" s="104"/>
      <c r="I147" s="105">
        <v>15.166666666666666</v>
      </c>
      <c r="J147" s="105"/>
      <c r="K147" s="105">
        <v>68.692600658700812</v>
      </c>
      <c r="L147" s="105">
        <v>5.291666666666667</v>
      </c>
      <c r="M147" s="105">
        <v>69.105000000000004</v>
      </c>
      <c r="N147" s="105">
        <v>74.71847938338081</v>
      </c>
      <c r="O147" s="105">
        <v>75.221577570915002</v>
      </c>
      <c r="P147" s="105">
        <v>70.267901491141643</v>
      </c>
      <c r="Q147" s="105">
        <v>68.17907683391168</v>
      </c>
      <c r="R147" s="105">
        <v>73.190516879724214</v>
      </c>
      <c r="S147" s="105">
        <v>76.839328803108899</v>
      </c>
      <c r="T147" s="105">
        <v>83.900427207979916</v>
      </c>
      <c r="U147" s="105">
        <v>91.871469933884612</v>
      </c>
      <c r="V147" s="105">
        <v>90.827628438888695</v>
      </c>
      <c r="W147" s="105">
        <v>90.913333642859754</v>
      </c>
      <c r="X147" s="105"/>
      <c r="Y147" s="105"/>
      <c r="Z147" s="105"/>
      <c r="AA147" s="105"/>
      <c r="AB147" s="105"/>
      <c r="AC147" s="105"/>
      <c r="AD147" s="105"/>
      <c r="AE147" s="105"/>
      <c r="AF147" s="106" t="s">
        <v>310</v>
      </c>
    </row>
    <row r="148" spans="2:32">
      <c r="B148" s="107" t="s">
        <v>403</v>
      </c>
      <c r="C148" s="102">
        <v>85.236073128429538</v>
      </c>
      <c r="D148" s="102">
        <v>93.602098640220959</v>
      </c>
      <c r="E148" s="103">
        <v>0.05</v>
      </c>
      <c r="F148" s="104" t="s">
        <v>153</v>
      </c>
      <c r="G148" s="104" t="s">
        <v>149</v>
      </c>
      <c r="H148" s="104" t="s">
        <v>135</v>
      </c>
      <c r="I148" s="105">
        <v>10</v>
      </c>
      <c r="J148" s="105" t="s">
        <v>185</v>
      </c>
      <c r="K148" s="105">
        <v>57.28</v>
      </c>
      <c r="L148" s="105">
        <v>11</v>
      </c>
      <c r="M148" s="105">
        <v>65.61</v>
      </c>
      <c r="N148" s="105">
        <v>59.778774732165999</v>
      </c>
      <c r="O148" s="105">
        <v>68.108774732165998</v>
      </c>
      <c r="P148" s="105">
        <v>53.052098640220962</v>
      </c>
      <c r="Q148" s="105">
        <v>64.52209864022096</v>
      </c>
      <c r="R148" s="105">
        <v>71.692098640220962</v>
      </c>
      <c r="S148" s="105">
        <v>81.732098640220968</v>
      </c>
      <c r="T148" s="105">
        <v>80.552098640220962</v>
      </c>
      <c r="U148" s="105">
        <v>76.38209864022096</v>
      </c>
      <c r="V148" s="105">
        <v>69.38209864022096</v>
      </c>
      <c r="W148" s="105">
        <v>61.412098640220961</v>
      </c>
      <c r="X148" s="105">
        <v>61.700748998104018</v>
      </c>
      <c r="Y148" s="105">
        <v>75.000748998104015</v>
      </c>
      <c r="Z148" s="105">
        <v>83.35074899810401</v>
      </c>
      <c r="AA148" s="105">
        <v>90.250748998104015</v>
      </c>
      <c r="AB148" s="105">
        <v>87.940748998104013</v>
      </c>
      <c r="AC148" s="105">
        <v>84.10074899810401</v>
      </c>
      <c r="AD148" s="105">
        <v>79.470748998104014</v>
      </c>
      <c r="AE148" s="105">
        <v>71.790748998104021</v>
      </c>
      <c r="AF148" s="106" t="s">
        <v>125</v>
      </c>
    </row>
    <row r="149" spans="2:32">
      <c r="B149" s="107" t="s">
        <v>463</v>
      </c>
      <c r="C149" s="102">
        <v>82.343349166221898</v>
      </c>
      <c r="D149" s="102">
        <v>93.510581769725931</v>
      </c>
      <c r="E149" s="103">
        <v>0.05</v>
      </c>
      <c r="F149" s="104" t="s">
        <v>151</v>
      </c>
      <c r="G149" s="104" t="s">
        <v>185</v>
      </c>
      <c r="H149" s="104" t="s">
        <v>135</v>
      </c>
      <c r="I149" s="105">
        <v>10</v>
      </c>
      <c r="J149" s="105" t="s">
        <v>185</v>
      </c>
      <c r="K149" s="105">
        <v>54.361550482640752</v>
      </c>
      <c r="L149" s="105">
        <v>8</v>
      </c>
      <c r="M149" s="105">
        <v>65.528783086144784</v>
      </c>
      <c r="N149" s="105">
        <v>56.86032521480675</v>
      </c>
      <c r="O149" s="105">
        <v>68.027557818310783</v>
      </c>
      <c r="P149" s="105">
        <v>60.104995950249446</v>
      </c>
      <c r="Q149" s="105">
        <v>70.107217415540077</v>
      </c>
      <c r="R149" s="105">
        <v>75.383110933470206</v>
      </c>
      <c r="S149" s="105">
        <v>75.731387333389534</v>
      </c>
      <c r="T149" s="105">
        <v>76.352919090212907</v>
      </c>
      <c r="U149" s="105">
        <v>75.459163085834334</v>
      </c>
      <c r="V149" s="105">
        <v>68.888117536648707</v>
      </c>
      <c r="W149" s="105">
        <v>63.463463006174436</v>
      </c>
      <c r="X149" s="105">
        <v>68.169233139742758</v>
      </c>
      <c r="Y149" s="105">
        <v>80.178410374510506</v>
      </c>
      <c r="Z149" s="105">
        <v>85.937209055349612</v>
      </c>
      <c r="AA149" s="105">
        <v>87.063042927177278</v>
      </c>
      <c r="AB149" s="105">
        <v>86.919171446839925</v>
      </c>
      <c r="AC149" s="105">
        <v>87.535894271493945</v>
      </c>
      <c r="AD149" s="105">
        <v>81.064606752128199</v>
      </c>
      <c r="AE149" s="105">
        <v>76.607421603393647</v>
      </c>
      <c r="AF149" s="106" t="s">
        <v>297</v>
      </c>
    </row>
    <row r="150" spans="2:32">
      <c r="B150" s="107" t="s">
        <v>464</v>
      </c>
      <c r="C150" s="102">
        <v>77.707109721734227</v>
      </c>
      <c r="D150" s="102">
        <v>91.274059503170577</v>
      </c>
      <c r="E150" s="103">
        <v>0.05</v>
      </c>
      <c r="F150" s="104" t="s">
        <v>151</v>
      </c>
      <c r="G150" s="104" t="s">
        <v>185</v>
      </c>
      <c r="H150" s="104" t="s">
        <v>135</v>
      </c>
      <c r="I150" s="105">
        <v>10</v>
      </c>
      <c r="J150" s="105" t="s">
        <v>185</v>
      </c>
      <c r="K150" s="105">
        <v>49.72531103815308</v>
      </c>
      <c r="L150" s="105">
        <v>20</v>
      </c>
      <c r="M150" s="105">
        <v>63.29226081958943</v>
      </c>
      <c r="N150" s="105">
        <v>52.224085770319078</v>
      </c>
      <c r="O150" s="105">
        <v>65.791035551755428</v>
      </c>
      <c r="P150" s="105">
        <v>55.370562011428163</v>
      </c>
      <c r="Q150" s="105">
        <v>65.879736499127119</v>
      </c>
      <c r="R150" s="105">
        <v>74.1639427900908</v>
      </c>
      <c r="S150" s="105">
        <v>70.388787743204844</v>
      </c>
      <c r="T150" s="105">
        <v>70.543659237593943</v>
      </c>
      <c r="U150" s="105">
        <v>67.006274832152485</v>
      </c>
      <c r="V150" s="105">
        <v>60.278590192279609</v>
      </c>
      <c r="W150" s="105">
        <v>55.098364289031977</v>
      </c>
      <c r="X150" s="105">
        <v>60.464925849186372</v>
      </c>
      <c r="Y150" s="105">
        <v>77.493650841526659</v>
      </c>
      <c r="Z150" s="105">
        <v>89.124053321633937</v>
      </c>
      <c r="AA150" s="105">
        <v>84.133068521746097</v>
      </c>
      <c r="AB150" s="105">
        <v>80.900707071987952</v>
      </c>
      <c r="AC150" s="105">
        <v>77.798920014793751</v>
      </c>
      <c r="AD150" s="105">
        <v>73.109697320685768</v>
      </c>
      <c r="AE150" s="105">
        <v>65.52005422366976</v>
      </c>
      <c r="AF150" s="106" t="s">
        <v>298</v>
      </c>
    </row>
    <row r="151" spans="2:32">
      <c r="B151" s="107" t="s">
        <v>465</v>
      </c>
      <c r="C151" s="102">
        <v>89.112029096884456</v>
      </c>
      <c r="D151" s="102">
        <v>103.0199490636888</v>
      </c>
      <c r="E151" s="103">
        <v>0.05</v>
      </c>
      <c r="F151" s="104" t="s">
        <v>151</v>
      </c>
      <c r="G151" s="104" t="s">
        <v>185</v>
      </c>
      <c r="H151" s="104" t="s">
        <v>134</v>
      </c>
      <c r="I151" s="105">
        <v>10</v>
      </c>
      <c r="J151" s="105" t="s">
        <v>185</v>
      </c>
      <c r="K151" s="105">
        <v>61.130230413303309</v>
      </c>
      <c r="L151" s="105">
        <v>12</v>
      </c>
      <c r="M151" s="105">
        <v>75.038150380107652</v>
      </c>
      <c r="N151" s="105">
        <v>63.629005145469307</v>
      </c>
      <c r="O151" s="105">
        <v>77.53692511227365</v>
      </c>
      <c r="P151" s="105">
        <v>74.255951300638159</v>
      </c>
      <c r="Q151" s="105">
        <v>76.82055951040968</v>
      </c>
      <c r="R151" s="105">
        <v>76.890686750138073</v>
      </c>
      <c r="S151" s="105">
        <v>82.934321234834272</v>
      </c>
      <c r="T151" s="105">
        <v>84.970298419477061</v>
      </c>
      <c r="U151" s="105">
        <v>81.962608404148114</v>
      </c>
      <c r="V151" s="105">
        <v>73.595751357631528</v>
      </c>
      <c r="W151" s="105">
        <v>59.331607281954035</v>
      </c>
      <c r="X151" s="105">
        <v>84.06015390099283</v>
      </c>
      <c r="Y151" s="105">
        <v>88.905389238158605</v>
      </c>
      <c r="Z151" s="105">
        <v>87.615035641291371</v>
      </c>
      <c r="AA151" s="105">
        <v>96.135136167919754</v>
      </c>
      <c r="AB151" s="105">
        <v>99.220290204264998</v>
      </c>
      <c r="AC151" s="105">
        <v>97.009182114895864</v>
      </c>
      <c r="AD151" s="105">
        <v>89.598111958937764</v>
      </c>
      <c r="AE151" s="105">
        <v>75.748229935693558</v>
      </c>
      <c r="AF151" s="106" t="s">
        <v>126</v>
      </c>
    </row>
    <row r="152" spans="2:32">
      <c r="B152" s="107" t="s">
        <v>521</v>
      </c>
      <c r="C152" s="102">
        <v>88.60137596636946</v>
      </c>
      <c r="D152" s="102">
        <v>102.87209864022097</v>
      </c>
      <c r="E152" s="103">
        <v>0.05</v>
      </c>
      <c r="F152" s="104" t="s">
        <v>151</v>
      </c>
      <c r="G152" s="104" t="s">
        <v>149</v>
      </c>
      <c r="H152" s="104" t="s">
        <v>134</v>
      </c>
      <c r="I152" s="105">
        <v>10</v>
      </c>
      <c r="J152" s="105" t="s">
        <v>185</v>
      </c>
      <c r="K152" s="105">
        <v>60.64</v>
      </c>
      <c r="L152" s="105">
        <v>14</v>
      </c>
      <c r="M152" s="105">
        <v>74.88000000000001</v>
      </c>
      <c r="N152" s="105">
        <v>63.138774732165999</v>
      </c>
      <c r="O152" s="105">
        <v>77.378774732166008</v>
      </c>
      <c r="P152" s="105">
        <v>61.76209864022097</v>
      </c>
      <c r="Q152" s="105">
        <v>72.88209864022096</v>
      </c>
      <c r="R152" s="105">
        <v>79.242098640220959</v>
      </c>
      <c r="S152" s="105">
        <v>83.51209864022097</v>
      </c>
      <c r="T152" s="105">
        <v>83.602098640220959</v>
      </c>
      <c r="U152" s="105">
        <v>80.282098640220966</v>
      </c>
      <c r="V152" s="105">
        <v>76.052098640220962</v>
      </c>
      <c r="W152" s="105">
        <v>72.802098640220962</v>
      </c>
      <c r="X152" s="105">
        <v>76.737623685748829</v>
      </c>
      <c r="Y152" s="105">
        <v>87.62762368574883</v>
      </c>
      <c r="Z152" s="105">
        <v>96.407623685748831</v>
      </c>
      <c r="AA152" s="105">
        <v>94.847623685748829</v>
      </c>
      <c r="AB152" s="105">
        <v>97.137623685748835</v>
      </c>
      <c r="AC152" s="105">
        <v>92.707623685748828</v>
      </c>
      <c r="AD152" s="105">
        <v>94.157623685748831</v>
      </c>
      <c r="AE152" s="105">
        <v>92.247623685748835</v>
      </c>
      <c r="AF152" s="106" t="s">
        <v>127</v>
      </c>
    </row>
    <row r="153" spans="2:32">
      <c r="B153" s="107" t="s">
        <v>466</v>
      </c>
      <c r="C153" s="102">
        <v>95.565204129965409</v>
      </c>
      <c r="D153" s="102">
        <v>107.89323069875354</v>
      </c>
      <c r="E153" s="103">
        <v>0.05</v>
      </c>
      <c r="F153" s="104" t="s">
        <v>151</v>
      </c>
      <c r="G153" s="104" t="s">
        <v>185</v>
      </c>
      <c r="H153" s="104" t="s">
        <v>134</v>
      </c>
      <c r="I153" s="105">
        <v>10</v>
      </c>
      <c r="J153" s="105" t="s">
        <v>185</v>
      </c>
      <c r="K153" s="105">
        <v>67.583405446384262</v>
      </c>
      <c r="L153" s="105">
        <v>25</v>
      </c>
      <c r="M153" s="105">
        <v>79.911432015172394</v>
      </c>
      <c r="N153" s="105">
        <v>70.08218017855026</v>
      </c>
      <c r="O153" s="105">
        <v>82.410206747338393</v>
      </c>
      <c r="P153" s="105">
        <v>63.828348056261646</v>
      </c>
      <c r="Q153" s="105">
        <v>81.157769052058001</v>
      </c>
      <c r="R153" s="105">
        <v>90.385509240639905</v>
      </c>
      <c r="S153" s="105">
        <v>90.897279997361437</v>
      </c>
      <c r="T153" s="105">
        <v>88.564425101480708</v>
      </c>
      <c r="U153" s="105">
        <v>85.322867842711048</v>
      </c>
      <c r="V153" s="105">
        <v>79.062807936242123</v>
      </c>
      <c r="W153" s="105">
        <v>68.305226936259714</v>
      </c>
      <c r="X153" s="105">
        <v>71.519088282571275</v>
      </c>
      <c r="Y153" s="105">
        <v>93.963480938741398</v>
      </c>
      <c r="Z153" s="105">
        <v>102.74217237681697</v>
      </c>
      <c r="AA153" s="105">
        <v>103.45401381761589</v>
      </c>
      <c r="AB153" s="105">
        <v>100.84542861359175</v>
      </c>
      <c r="AC153" s="105">
        <v>96.468932552133552</v>
      </c>
      <c r="AD153" s="105">
        <v>91.370137976638475</v>
      </c>
      <c r="AE153" s="105">
        <v>81.745204135830988</v>
      </c>
      <c r="AF153" s="106" t="s">
        <v>128</v>
      </c>
    </row>
    <row r="154" spans="2:32">
      <c r="B154" s="107" t="s">
        <v>522</v>
      </c>
      <c r="C154" s="102">
        <v>92.090702287880234</v>
      </c>
      <c r="D154" s="102">
        <v>103.47072621933513</v>
      </c>
      <c r="E154" s="103">
        <v>0.05</v>
      </c>
      <c r="F154" s="104" t="s">
        <v>151</v>
      </c>
      <c r="G154" s="104" t="s">
        <v>185</v>
      </c>
      <c r="H154" s="104" t="s">
        <v>134</v>
      </c>
      <c r="I154" s="105">
        <v>10</v>
      </c>
      <c r="J154" s="105" t="s">
        <v>185</v>
      </c>
      <c r="K154" s="105">
        <v>64.108903604299087</v>
      </c>
      <c r="L154" s="105">
        <v>19</v>
      </c>
      <c r="M154" s="105">
        <v>75.488927535753987</v>
      </c>
      <c r="N154" s="105">
        <v>66.607678336465085</v>
      </c>
      <c r="O154" s="105">
        <v>77.987702267919985</v>
      </c>
      <c r="P154" s="105">
        <v>62.779126592491295</v>
      </c>
      <c r="Q154" s="105">
        <v>70.328661442682218</v>
      </c>
      <c r="R154" s="105">
        <v>77.627690963741841</v>
      </c>
      <c r="S154" s="105">
        <v>86.977193894670037</v>
      </c>
      <c r="T154" s="105">
        <v>87.808455143194067</v>
      </c>
      <c r="U154" s="105">
        <v>85.491578752607538</v>
      </c>
      <c r="V154" s="105">
        <v>78.942993984254443</v>
      </c>
      <c r="W154" s="105">
        <v>71.115331780323601</v>
      </c>
      <c r="X154" s="105">
        <v>73.942659810919082</v>
      </c>
      <c r="Y154" s="105">
        <v>81.836927978526901</v>
      </c>
      <c r="Z154" s="105">
        <v>89.827598424074793</v>
      </c>
      <c r="AA154" s="105">
        <v>98.942004721310454</v>
      </c>
      <c r="AB154" s="105">
        <v>98.754947395488358</v>
      </c>
      <c r="AC154" s="105">
        <v>96.394427852649741</v>
      </c>
      <c r="AD154" s="105">
        <v>90.584505615271368</v>
      </c>
      <c r="AE154" s="105">
        <v>83.966686620893157</v>
      </c>
      <c r="AF154" s="106" t="s">
        <v>129</v>
      </c>
    </row>
    <row r="155" spans="2:32">
      <c r="B155" s="107" t="s">
        <v>467</v>
      </c>
      <c r="C155" s="102">
        <v>95.101461287728213</v>
      </c>
      <c r="D155" s="102">
        <v>111.77573178147865</v>
      </c>
      <c r="E155" s="103">
        <v>0.1</v>
      </c>
      <c r="F155" s="104" t="s">
        <v>151</v>
      </c>
      <c r="G155" s="104" t="s">
        <v>185</v>
      </c>
      <c r="H155" s="104" t="s">
        <v>134</v>
      </c>
      <c r="I155" s="105">
        <v>10</v>
      </c>
      <c r="J155" s="105" t="s">
        <v>185</v>
      </c>
      <c r="K155" s="105">
        <v>67.119662604147067</v>
      </c>
      <c r="L155" s="105">
        <v>20</v>
      </c>
      <c r="M155" s="105">
        <v>83.793933097897508</v>
      </c>
      <c r="N155" s="105">
        <v>69.618437336313065</v>
      </c>
      <c r="O155" s="105">
        <v>86.292707830063506</v>
      </c>
      <c r="P155" s="105">
        <v>64.345807122366082</v>
      </c>
      <c r="Q155" s="105">
        <v>81.010577619181731</v>
      </c>
      <c r="R155" s="105">
        <v>86.550050935742036</v>
      </c>
      <c r="S155" s="105">
        <v>89.944983899951623</v>
      </c>
      <c r="T155" s="105">
        <v>90.207601363658512</v>
      </c>
      <c r="U155" s="105">
        <v>87.205786779888371</v>
      </c>
      <c r="V155" s="105">
        <v>79.628877165491119</v>
      </c>
      <c r="W155" s="105">
        <v>64.0706478501384</v>
      </c>
      <c r="X155" s="105">
        <v>76.704811925907137</v>
      </c>
      <c r="Y155" s="105">
        <v>97.375686541786166</v>
      </c>
      <c r="Z155" s="105">
        <v>101.88232362307603</v>
      </c>
      <c r="AA155" s="105">
        <v>105.99037809032681</v>
      </c>
      <c r="AB155" s="105">
        <v>107.52607068411628</v>
      </c>
      <c r="AC155" s="105">
        <v>104.45572245931216</v>
      </c>
      <c r="AD155" s="105">
        <v>97.201299782047371</v>
      </c>
      <c r="AE155" s="105">
        <v>81.237676332392383</v>
      </c>
      <c r="AF155" s="106" t="s">
        <v>130</v>
      </c>
    </row>
    <row r="156" spans="2:32">
      <c r="B156" s="107" t="s">
        <v>523</v>
      </c>
      <c r="C156" s="102">
        <v>83.980319663062673</v>
      </c>
      <c r="D156" s="102">
        <v>100.162177870653</v>
      </c>
      <c r="E156" s="103">
        <v>0.15</v>
      </c>
      <c r="F156" s="104" t="s">
        <v>299</v>
      </c>
      <c r="G156" s="104" t="s">
        <v>185</v>
      </c>
      <c r="H156" s="104" t="s">
        <v>135</v>
      </c>
      <c r="I156" s="105">
        <v>10</v>
      </c>
      <c r="J156" s="105" t="s">
        <v>185</v>
      </c>
      <c r="K156" s="105">
        <v>55.998520979481519</v>
      </c>
      <c r="L156" s="105">
        <v>41</v>
      </c>
      <c r="M156" s="105">
        <v>72.18037918707185</v>
      </c>
      <c r="N156" s="105">
        <v>58.497295711647517</v>
      </c>
      <c r="O156" s="105">
        <v>74.679153919237848</v>
      </c>
      <c r="P156" s="105">
        <v>63.082765241325788</v>
      </c>
      <c r="Q156" s="105">
        <v>71.169498352120584</v>
      </c>
      <c r="R156" s="105">
        <v>76.008036720762135</v>
      </c>
      <c r="S156" s="105">
        <v>77.676860001403483</v>
      </c>
      <c r="T156" s="105">
        <v>79.604731582594141</v>
      </c>
      <c r="U156" s="105">
        <v>75.537408467990772</v>
      </c>
      <c r="V156" s="105">
        <v>68.640244580352885</v>
      </c>
      <c r="W156" s="105">
        <v>63.1649204820134</v>
      </c>
      <c r="X156" s="105">
        <v>71.935345280339959</v>
      </c>
      <c r="Y156" s="105">
        <v>85.955593558985854</v>
      </c>
      <c r="Z156" s="105">
        <v>90.860961835193223</v>
      </c>
      <c r="AA156" s="105">
        <v>91.581287072886497</v>
      </c>
      <c r="AB156" s="105">
        <v>97.107283051263394</v>
      </c>
      <c r="AC156" s="105">
        <v>92.531620511822979</v>
      </c>
      <c r="AD156" s="105">
        <v>84.685049584098991</v>
      </c>
      <c r="AE156" s="105">
        <v>79.529339292760326</v>
      </c>
      <c r="AF156" s="106" t="s">
        <v>131</v>
      </c>
    </row>
    <row r="157" spans="2:32">
      <c r="B157" s="107" t="s">
        <v>404</v>
      </c>
      <c r="C157" s="102">
        <v>83.96076648664156</v>
      </c>
      <c r="D157" s="102">
        <v>106.21602739068953</v>
      </c>
      <c r="E157" s="103">
        <v>0.25</v>
      </c>
      <c r="F157" s="104" t="s">
        <v>67</v>
      </c>
      <c r="G157" s="122" t="s">
        <v>342</v>
      </c>
      <c r="H157" s="104" t="s">
        <v>134</v>
      </c>
      <c r="I157" s="105" t="s">
        <v>185</v>
      </c>
      <c r="J157" s="105" t="s">
        <v>185</v>
      </c>
      <c r="K157" s="105" t="s">
        <v>185</v>
      </c>
      <c r="L157" s="105" t="s">
        <v>185</v>
      </c>
      <c r="M157" s="105"/>
      <c r="N157" s="105">
        <f t="shared" ref="N157:O159" si="1">C157-10 *LOG(2*PI()*7.5^2)</f>
        <v>58.477742535226412</v>
      </c>
      <c r="O157" s="105">
        <f t="shared" si="1"/>
        <v>80.733003439274384</v>
      </c>
      <c r="P157" s="105">
        <v>70</v>
      </c>
      <c r="Q157" s="105">
        <v>77</v>
      </c>
      <c r="R157" s="105">
        <v>79</v>
      </c>
      <c r="S157" s="105">
        <v>78</v>
      </c>
      <c r="T157" s="105">
        <v>72</v>
      </c>
      <c r="U157" s="105">
        <v>72</v>
      </c>
      <c r="V157" s="105">
        <v>71</v>
      </c>
      <c r="W157" s="105">
        <v>63</v>
      </c>
      <c r="X157" s="105">
        <v>81</v>
      </c>
      <c r="Y157" s="105">
        <v>95</v>
      </c>
      <c r="Z157" s="105">
        <v>99</v>
      </c>
      <c r="AA157" s="105">
        <v>100</v>
      </c>
      <c r="AB157" s="105">
        <v>101</v>
      </c>
      <c r="AC157" s="105">
        <v>98</v>
      </c>
      <c r="AD157" s="105">
        <v>92</v>
      </c>
      <c r="AE157" s="105">
        <v>81</v>
      </c>
      <c r="AF157" s="106" t="s">
        <v>344</v>
      </c>
    </row>
    <row r="158" spans="2:32">
      <c r="B158" s="107" t="s">
        <v>405</v>
      </c>
      <c r="C158" s="102">
        <v>92.919254702956167</v>
      </c>
      <c r="D158" s="102">
        <v>106.21602739068953</v>
      </c>
      <c r="E158" s="103">
        <v>0.1</v>
      </c>
      <c r="F158" s="104" t="s">
        <v>67</v>
      </c>
      <c r="G158" s="122" t="s">
        <v>342</v>
      </c>
      <c r="H158" s="104" t="s">
        <v>134</v>
      </c>
      <c r="I158" s="105" t="s">
        <v>185</v>
      </c>
      <c r="J158" s="105" t="s">
        <v>185</v>
      </c>
      <c r="K158" s="105" t="s">
        <v>185</v>
      </c>
      <c r="L158" s="105" t="s">
        <v>185</v>
      </c>
      <c r="M158" s="105"/>
      <c r="N158" s="105">
        <f t="shared" si="1"/>
        <v>67.436230751541018</v>
      </c>
      <c r="O158" s="105">
        <f t="shared" si="1"/>
        <v>80.733003439274384</v>
      </c>
      <c r="P158" s="105">
        <v>73</v>
      </c>
      <c r="Q158" s="105">
        <v>83</v>
      </c>
      <c r="R158" s="105">
        <v>89</v>
      </c>
      <c r="S158" s="105">
        <v>88</v>
      </c>
      <c r="T158" s="105">
        <v>83</v>
      </c>
      <c r="U158" s="105">
        <v>79</v>
      </c>
      <c r="V158" s="105">
        <v>75</v>
      </c>
      <c r="W158" s="105">
        <v>65</v>
      </c>
      <c r="X158" s="105">
        <v>81</v>
      </c>
      <c r="Y158" s="105">
        <v>95</v>
      </c>
      <c r="Z158" s="105">
        <v>99</v>
      </c>
      <c r="AA158" s="105">
        <v>100</v>
      </c>
      <c r="AB158" s="105">
        <v>101</v>
      </c>
      <c r="AC158" s="105">
        <v>98</v>
      </c>
      <c r="AD158" s="105">
        <v>92</v>
      </c>
      <c r="AE158" s="105">
        <v>81</v>
      </c>
      <c r="AF158" s="106" t="s">
        <v>345</v>
      </c>
    </row>
    <row r="159" spans="2:32">
      <c r="B159" s="107" t="s">
        <v>406</v>
      </c>
      <c r="C159" s="102">
        <v>89.922839827760512</v>
      </c>
      <c r="D159" s="102">
        <v>106.21602739068953</v>
      </c>
      <c r="E159" s="103">
        <v>0.35</v>
      </c>
      <c r="F159" s="104" t="s">
        <v>67</v>
      </c>
      <c r="G159" s="122" t="s">
        <v>342</v>
      </c>
      <c r="H159" s="104" t="s">
        <v>134</v>
      </c>
      <c r="I159" s="105" t="s">
        <v>185</v>
      </c>
      <c r="J159" s="105" t="s">
        <v>185</v>
      </c>
      <c r="K159" s="105" t="s">
        <v>185</v>
      </c>
      <c r="L159" s="105" t="s">
        <v>185</v>
      </c>
      <c r="M159" s="105"/>
      <c r="N159" s="105">
        <f t="shared" si="1"/>
        <v>64.439815876345364</v>
      </c>
      <c r="O159" s="105">
        <f t="shared" si="1"/>
        <v>80.733003439274384</v>
      </c>
      <c r="P159" s="105">
        <v>71</v>
      </c>
      <c r="Q159" s="105">
        <v>81</v>
      </c>
      <c r="R159" s="105">
        <v>85</v>
      </c>
      <c r="S159" s="105">
        <v>85</v>
      </c>
      <c r="T159" s="105">
        <v>81</v>
      </c>
      <c r="U159" s="105">
        <v>78</v>
      </c>
      <c r="V159" s="105">
        <v>73</v>
      </c>
      <c r="W159" s="105">
        <v>64</v>
      </c>
      <c r="X159" s="105">
        <v>81</v>
      </c>
      <c r="Y159" s="105">
        <v>95</v>
      </c>
      <c r="Z159" s="105">
        <v>99</v>
      </c>
      <c r="AA159" s="105">
        <v>100</v>
      </c>
      <c r="AB159" s="105">
        <v>101</v>
      </c>
      <c r="AC159" s="105">
        <v>98</v>
      </c>
      <c r="AD159" s="105">
        <v>92</v>
      </c>
      <c r="AE159" s="105">
        <v>81</v>
      </c>
      <c r="AF159" s="106" t="s">
        <v>346</v>
      </c>
    </row>
    <row r="160" spans="2:32">
      <c r="B160" s="107" t="s">
        <v>407</v>
      </c>
      <c r="C160" s="102">
        <v>-99</v>
      </c>
      <c r="D160" s="102">
        <v>98.935362675712227</v>
      </c>
      <c r="E160" s="103">
        <v>1E-4</v>
      </c>
      <c r="F160" s="104" t="s">
        <v>67</v>
      </c>
      <c r="G160" s="122" t="s">
        <v>342</v>
      </c>
      <c r="H160" s="104" t="s">
        <v>134</v>
      </c>
      <c r="I160" s="105" t="s">
        <v>185</v>
      </c>
      <c r="J160" s="105" t="s">
        <v>185</v>
      </c>
      <c r="K160" s="105" t="s">
        <v>185</v>
      </c>
      <c r="L160" s="105" t="s">
        <v>185</v>
      </c>
      <c r="M160" s="105"/>
      <c r="N160" s="105"/>
      <c r="O160" s="105">
        <f t="shared" ref="O160" si="2">D160-10 *LOG(2*PI()*7.5^2)</f>
        <v>73.452338724297078</v>
      </c>
      <c r="P160" s="105" t="s">
        <v>185</v>
      </c>
      <c r="Q160" s="105" t="s">
        <v>185</v>
      </c>
      <c r="R160" s="105" t="s">
        <v>185</v>
      </c>
      <c r="S160" s="105" t="s">
        <v>185</v>
      </c>
      <c r="T160" s="105" t="s">
        <v>185</v>
      </c>
      <c r="U160" s="105" t="s">
        <v>185</v>
      </c>
      <c r="V160" s="105" t="s">
        <v>185</v>
      </c>
      <c r="W160" s="105" t="s">
        <v>185</v>
      </c>
      <c r="X160" s="105">
        <v>74</v>
      </c>
      <c r="Y160" s="105">
        <v>83</v>
      </c>
      <c r="Z160" s="105">
        <v>89</v>
      </c>
      <c r="AA160" s="105">
        <v>97</v>
      </c>
      <c r="AB160" s="105">
        <v>99</v>
      </c>
      <c r="AC160" s="105">
        <v>99</v>
      </c>
      <c r="AD160" s="105">
        <v>99</v>
      </c>
      <c r="AE160" s="105">
        <v>93</v>
      </c>
      <c r="AF160" s="106" t="s">
        <v>351</v>
      </c>
    </row>
    <row r="161" spans="2:32">
      <c r="B161" s="94"/>
      <c r="C161" s="102"/>
      <c r="D161" s="102"/>
      <c r="E161" s="103"/>
      <c r="F161" s="104"/>
      <c r="G161" s="104"/>
      <c r="H161" s="104"/>
      <c r="I161" s="105"/>
      <c r="J161" s="105"/>
      <c r="K161" s="105"/>
      <c r="L161" s="105"/>
      <c r="M161" s="105"/>
      <c r="N161" s="105"/>
      <c r="O161" s="105"/>
      <c r="P161" s="105"/>
      <c r="Q161" s="105"/>
      <c r="R161" s="105"/>
      <c r="S161" s="105"/>
      <c r="T161" s="105"/>
      <c r="U161" s="105"/>
      <c r="V161" s="105"/>
      <c r="W161" s="105"/>
      <c r="X161" s="105"/>
      <c r="Y161" s="105"/>
      <c r="Z161" s="105"/>
      <c r="AA161" s="105"/>
      <c r="AB161" s="105"/>
      <c r="AC161" s="105"/>
      <c r="AD161" s="105"/>
      <c r="AE161" s="105"/>
      <c r="AF161" s="106"/>
    </row>
    <row r="162" spans="2:32">
      <c r="B162" s="98" t="s">
        <v>194</v>
      </c>
      <c r="C162" s="98"/>
      <c r="D162" s="98"/>
      <c r="E162" s="98"/>
      <c r="F162" s="98"/>
      <c r="G162" s="98"/>
      <c r="H162" s="98"/>
      <c r="I162" s="98"/>
      <c r="J162" s="98"/>
      <c r="K162" s="98"/>
      <c r="L162" s="98"/>
      <c r="M162" s="98"/>
      <c r="N162" s="98"/>
      <c r="O162" s="98"/>
      <c r="P162" s="98"/>
      <c r="Q162" s="98"/>
      <c r="R162" s="98"/>
      <c r="S162" s="98"/>
      <c r="T162" s="98"/>
      <c r="U162" s="98"/>
      <c r="V162" s="98"/>
      <c r="W162" s="98"/>
      <c r="X162" s="98"/>
      <c r="Y162" s="98"/>
      <c r="Z162" s="98"/>
      <c r="AA162" s="98"/>
      <c r="AB162" s="98"/>
      <c r="AC162" s="98"/>
      <c r="AD162" s="98"/>
      <c r="AE162" s="98"/>
      <c r="AF162" s="98"/>
    </row>
    <row r="163" spans="2:32">
      <c r="B163" s="101" t="s">
        <v>185</v>
      </c>
      <c r="C163" s="102"/>
      <c r="D163" s="102"/>
      <c r="E163" s="103"/>
      <c r="F163" s="104"/>
      <c r="G163" s="104"/>
      <c r="H163" s="104"/>
      <c r="I163" s="105"/>
      <c r="J163" s="105"/>
      <c r="K163" s="105"/>
      <c r="L163" s="105"/>
      <c r="M163" s="105"/>
      <c r="N163" s="105"/>
      <c r="O163" s="105"/>
      <c r="P163" s="105"/>
      <c r="Q163" s="105"/>
      <c r="R163" s="105"/>
      <c r="S163" s="105"/>
      <c r="T163" s="105"/>
      <c r="U163" s="105"/>
      <c r="V163" s="105"/>
      <c r="W163" s="105"/>
      <c r="X163" s="105"/>
      <c r="Y163" s="105"/>
      <c r="Z163" s="105"/>
      <c r="AA163" s="105"/>
      <c r="AB163" s="105"/>
      <c r="AC163" s="105"/>
      <c r="AD163" s="105"/>
      <c r="AE163" s="105"/>
      <c r="AF163" s="106"/>
    </row>
    <row r="164" spans="2:32">
      <c r="B164" s="107" t="s">
        <v>408</v>
      </c>
      <c r="C164" s="102">
        <v>77.84265707298708</v>
      </c>
      <c r="D164" s="102">
        <v>90.09517800779345</v>
      </c>
      <c r="E164" s="103">
        <v>0.1</v>
      </c>
      <c r="F164" s="104" t="s">
        <v>148</v>
      </c>
      <c r="G164" s="104"/>
      <c r="H164" s="104" t="s">
        <v>156</v>
      </c>
      <c r="I164" s="105">
        <v>10</v>
      </c>
      <c r="J164" s="105" t="s">
        <v>185</v>
      </c>
      <c r="K164" s="105">
        <v>49.860858389405934</v>
      </c>
      <c r="L164" s="105">
        <v>21</v>
      </c>
      <c r="M164" s="105">
        <v>62.113379324212303</v>
      </c>
      <c r="N164" s="105">
        <v>52.359633121571932</v>
      </c>
      <c r="O164" s="105">
        <v>64.612154056378301</v>
      </c>
      <c r="P164" s="105">
        <v>58.077239593847445</v>
      </c>
      <c r="Q164" s="105">
        <v>61.02271583225388</v>
      </c>
      <c r="R164" s="105">
        <v>64.533561295786427</v>
      </c>
      <c r="S164" s="105">
        <v>76.038102142579547</v>
      </c>
      <c r="T164" s="105">
        <v>69.899296477590738</v>
      </c>
      <c r="U164" s="105">
        <v>67.035787975664633</v>
      </c>
      <c r="V164" s="105">
        <v>59.35438902300055</v>
      </c>
      <c r="W164" s="105">
        <v>54.067793610223461</v>
      </c>
      <c r="X164" s="105">
        <v>69.973247029219365</v>
      </c>
      <c r="Y164" s="105">
        <v>72.380574178643428</v>
      </c>
      <c r="Z164" s="105">
        <v>79.211075966844746</v>
      </c>
      <c r="AA164" s="105">
        <v>88.818052278278486</v>
      </c>
      <c r="AB164" s="105">
        <v>78.645340754365535</v>
      </c>
      <c r="AC164" s="105">
        <v>77.352111022296782</v>
      </c>
      <c r="AD164" s="105">
        <v>72.586996651372061</v>
      </c>
      <c r="AE164" s="105">
        <v>66.121906669948885</v>
      </c>
      <c r="AF164" s="106" t="s">
        <v>94</v>
      </c>
    </row>
    <row r="165" spans="2:32">
      <c r="B165" s="107" t="s">
        <v>409</v>
      </c>
      <c r="C165" s="102">
        <v>81.289074262931237</v>
      </c>
      <c r="D165" s="102">
        <v>89.153894650877305</v>
      </c>
      <c r="E165" s="103">
        <v>0.1</v>
      </c>
      <c r="F165" s="104" t="s">
        <v>67</v>
      </c>
      <c r="G165" s="104" t="s">
        <v>181</v>
      </c>
      <c r="H165" s="104" t="s">
        <v>314</v>
      </c>
      <c r="I165" s="105">
        <v>13.4</v>
      </c>
      <c r="J165" s="105"/>
      <c r="K165" s="105">
        <v>53.765179612053934</v>
      </c>
      <c r="L165" s="105">
        <v>17.625</v>
      </c>
      <c r="M165" s="105">
        <v>61.63</v>
      </c>
      <c r="N165" s="105">
        <v>59.770705831796214</v>
      </c>
      <c r="O165" s="105">
        <v>66.670870699462156</v>
      </c>
      <c r="P165" s="105">
        <v>60.017974563515772</v>
      </c>
      <c r="Q165" s="105">
        <v>63.095393469257253</v>
      </c>
      <c r="R165" s="105">
        <v>68.401782752573084</v>
      </c>
      <c r="S165" s="105">
        <v>75.639656107643276</v>
      </c>
      <c r="T165" s="105">
        <v>77.275718888299622</v>
      </c>
      <c r="U165" s="105">
        <v>74.675046337395003</v>
      </c>
      <c r="V165" s="105">
        <v>66.798166864220349</v>
      </c>
      <c r="W165" s="105">
        <v>56.238357189850227</v>
      </c>
      <c r="X165" s="105"/>
      <c r="Y165" s="105"/>
      <c r="Z165" s="105"/>
      <c r="AA165" s="105"/>
      <c r="AB165" s="105"/>
      <c r="AC165" s="105"/>
      <c r="AD165" s="105"/>
      <c r="AE165" s="105"/>
      <c r="AF165" s="106" t="s">
        <v>314</v>
      </c>
    </row>
    <row r="166" spans="2:32">
      <c r="B166" s="107" t="s">
        <v>410</v>
      </c>
      <c r="C166" s="102">
        <v>75.799746247196026</v>
      </c>
      <c r="D166" s="102">
        <v>83.472098640220963</v>
      </c>
      <c r="E166" s="103">
        <v>0.1</v>
      </c>
      <c r="F166" s="104" t="s">
        <v>157</v>
      </c>
      <c r="G166" s="104" t="s">
        <v>149</v>
      </c>
      <c r="H166" s="104" t="s">
        <v>156</v>
      </c>
      <c r="I166" s="105">
        <v>10</v>
      </c>
      <c r="J166" s="105" t="s">
        <v>185</v>
      </c>
      <c r="K166" s="105">
        <v>47.82</v>
      </c>
      <c r="L166" s="105">
        <v>25</v>
      </c>
      <c r="M166" s="105">
        <v>55.480000000000004</v>
      </c>
      <c r="N166" s="105">
        <v>61.007782821167538</v>
      </c>
      <c r="O166" s="105">
        <v>68.888774732165999</v>
      </c>
      <c r="P166" s="105">
        <v>58.192098640220962</v>
      </c>
      <c r="Q166" s="105">
        <v>60.77209864022096</v>
      </c>
      <c r="R166" s="105">
        <v>64.922098640220966</v>
      </c>
      <c r="S166" s="105">
        <v>67.63209864022096</v>
      </c>
      <c r="T166" s="105">
        <v>71.372098640220969</v>
      </c>
      <c r="U166" s="105">
        <v>68.412098640220961</v>
      </c>
      <c r="V166" s="105">
        <v>67.612098640220964</v>
      </c>
      <c r="W166" s="105">
        <v>59.222098640220963</v>
      </c>
      <c r="X166" s="105">
        <v>67.779576504952132</v>
      </c>
      <c r="Y166" s="105">
        <v>71.199576504952134</v>
      </c>
      <c r="Z166" s="105">
        <v>76.819576504952124</v>
      </c>
      <c r="AA166" s="105">
        <v>74.96957650495213</v>
      </c>
      <c r="AB166" s="105">
        <v>77.459576504952125</v>
      </c>
      <c r="AC166" s="105">
        <v>75.429576504952124</v>
      </c>
      <c r="AD166" s="105">
        <v>74.739576504952126</v>
      </c>
      <c r="AE166" s="105">
        <v>65.279576504952132</v>
      </c>
      <c r="AF166" s="106" t="s">
        <v>95</v>
      </c>
    </row>
    <row r="167" spans="2:32">
      <c r="B167" s="107" t="s">
        <v>530</v>
      </c>
      <c r="C167" s="102">
        <v>79.457374959299742</v>
      </c>
      <c r="D167" s="102">
        <v>90.694719588412042</v>
      </c>
      <c r="E167" s="103">
        <v>0.01</v>
      </c>
      <c r="F167" s="104" t="s">
        <v>148</v>
      </c>
      <c r="G167" s="104"/>
      <c r="H167" s="104" t="s">
        <v>156</v>
      </c>
      <c r="I167" s="105">
        <v>10</v>
      </c>
      <c r="J167" s="105" t="s">
        <v>185</v>
      </c>
      <c r="K167" s="105">
        <v>51.475576275718595</v>
      </c>
      <c r="L167" s="105">
        <v>26</v>
      </c>
      <c r="M167" s="105">
        <v>62.712920904830895</v>
      </c>
      <c r="N167" s="105">
        <v>53.974351007884593</v>
      </c>
      <c r="O167" s="105">
        <v>65.211695636996893</v>
      </c>
      <c r="P167" s="105">
        <v>59.518724271871037</v>
      </c>
      <c r="Q167" s="105">
        <v>66.439611165346022</v>
      </c>
      <c r="R167" s="105">
        <v>66.894581760628895</v>
      </c>
      <c r="S167" s="105">
        <v>76.881576055085361</v>
      </c>
      <c r="T167" s="105">
        <v>73.281231525590371</v>
      </c>
      <c r="U167" s="105">
        <v>67.982470301260591</v>
      </c>
      <c r="V167" s="105">
        <v>61.719868734192616</v>
      </c>
      <c r="W167" s="105">
        <v>53.704639399445199</v>
      </c>
      <c r="X167" s="105">
        <v>74.297263814320843</v>
      </c>
      <c r="Y167" s="105">
        <v>83.454923126765081</v>
      </c>
      <c r="Z167" s="105">
        <v>80.708465630303266</v>
      </c>
      <c r="AA167" s="105">
        <v>87.66338383838648</v>
      </c>
      <c r="AB167" s="105">
        <v>82.073547290566196</v>
      </c>
      <c r="AC167" s="105">
        <v>75.613184280141283</v>
      </c>
      <c r="AD167" s="105">
        <v>71.021092939405548</v>
      </c>
      <c r="AE167" s="105">
        <v>71.181732768509946</v>
      </c>
      <c r="AF167" s="106" t="s">
        <v>101</v>
      </c>
    </row>
    <row r="168" spans="2:32">
      <c r="B168" s="107" t="s">
        <v>411</v>
      </c>
      <c r="C168" s="102">
        <v>81.185284580575768</v>
      </c>
      <c r="D168" s="102">
        <v>92.962098640220972</v>
      </c>
      <c r="E168" s="103">
        <v>0.1</v>
      </c>
      <c r="F168" s="104" t="s">
        <v>148</v>
      </c>
      <c r="G168" s="104" t="s">
        <v>133</v>
      </c>
      <c r="H168" s="104" t="s">
        <v>156</v>
      </c>
      <c r="I168" s="105">
        <v>10</v>
      </c>
      <c r="J168" s="105" t="s">
        <v>185</v>
      </c>
      <c r="K168" s="105">
        <v>53.16</v>
      </c>
      <c r="L168" s="105">
        <v>24</v>
      </c>
      <c r="M168" s="105">
        <v>64.970000000000013</v>
      </c>
      <c r="N168" s="105">
        <v>55.658774732165995</v>
      </c>
      <c r="O168" s="105">
        <v>67.468774732166011</v>
      </c>
      <c r="P168" s="105">
        <v>65.042098640220956</v>
      </c>
      <c r="Q168" s="105">
        <v>67.972098640220963</v>
      </c>
      <c r="R168" s="105">
        <v>67.152098640220956</v>
      </c>
      <c r="S168" s="105">
        <v>78.642098640220965</v>
      </c>
      <c r="T168" s="105">
        <v>73.88209864022096</v>
      </c>
      <c r="U168" s="105">
        <v>70.922098640220966</v>
      </c>
      <c r="V168" s="105">
        <v>67.652098640220956</v>
      </c>
      <c r="W168" s="105">
        <v>59.742098640220959</v>
      </c>
      <c r="X168" s="105">
        <v>71.219960171033478</v>
      </c>
      <c r="Y168" s="105">
        <v>76.759960171033484</v>
      </c>
      <c r="Z168" s="105">
        <v>79.799960171033476</v>
      </c>
      <c r="AA168" s="105">
        <v>87.91996017103348</v>
      </c>
      <c r="AB168" s="105">
        <v>89.229960171033483</v>
      </c>
      <c r="AC168" s="105">
        <v>82.899960171033484</v>
      </c>
      <c r="AD168" s="105">
        <v>81.579960171033477</v>
      </c>
      <c r="AE168" s="105">
        <v>74.139960171033479</v>
      </c>
      <c r="AF168" s="106" t="s">
        <v>102</v>
      </c>
    </row>
    <row r="169" spans="2:32">
      <c r="B169" s="107" t="s">
        <v>412</v>
      </c>
      <c r="C169" s="102">
        <v>79.682233617402503</v>
      </c>
      <c r="D169" s="102">
        <v>91.172098640220938</v>
      </c>
      <c r="E169" s="103">
        <v>0.1</v>
      </c>
      <c r="F169" s="104" t="s">
        <v>148</v>
      </c>
      <c r="G169" s="104" t="s">
        <v>149</v>
      </c>
      <c r="H169" s="104" t="s">
        <v>156</v>
      </c>
      <c r="I169" s="105">
        <v>10</v>
      </c>
      <c r="J169" s="105" t="s">
        <v>185</v>
      </c>
      <c r="K169" s="105">
        <v>51.66</v>
      </c>
      <c r="L169" s="105">
        <v>23</v>
      </c>
      <c r="M169" s="105">
        <v>63.179999999999978</v>
      </c>
      <c r="N169" s="105">
        <v>54.158774732165995</v>
      </c>
      <c r="O169" s="105">
        <v>65.678774732165977</v>
      </c>
      <c r="P169" s="105">
        <v>60.892098640220965</v>
      </c>
      <c r="Q169" s="105">
        <v>62.502098640220964</v>
      </c>
      <c r="R169" s="105">
        <v>67.88209864022096</v>
      </c>
      <c r="S169" s="105">
        <v>74.912098640220961</v>
      </c>
      <c r="T169" s="105">
        <v>73.662098640220961</v>
      </c>
      <c r="U169" s="105">
        <v>72.072098640220958</v>
      </c>
      <c r="V169" s="105">
        <v>70.752098640220964</v>
      </c>
      <c r="W169" s="105">
        <v>61.942098640220962</v>
      </c>
      <c r="X169" s="105">
        <v>67.057981430545269</v>
      </c>
      <c r="Y169" s="105">
        <v>69.457981430545274</v>
      </c>
      <c r="Z169" s="105">
        <v>78.827981430545279</v>
      </c>
      <c r="AA169" s="105">
        <v>81.957981430545274</v>
      </c>
      <c r="AB169" s="105">
        <v>84.987981430545275</v>
      </c>
      <c r="AC169" s="105">
        <v>86.257981430545271</v>
      </c>
      <c r="AD169" s="105">
        <v>84.577981430545279</v>
      </c>
      <c r="AE169" s="105">
        <v>75.777981430545282</v>
      </c>
      <c r="AF169" s="106" t="s">
        <v>103</v>
      </c>
    </row>
    <row r="170" spans="2:32">
      <c r="B170" s="107" t="s">
        <v>413</v>
      </c>
      <c r="C170" s="102">
        <v>83.452735345895476</v>
      </c>
      <c r="D170" s="102">
        <v>91.712098640220958</v>
      </c>
      <c r="E170" s="103">
        <v>0.1</v>
      </c>
      <c r="F170" s="104" t="s">
        <v>148</v>
      </c>
      <c r="G170" s="104" t="s">
        <v>133</v>
      </c>
      <c r="H170" s="104" t="s">
        <v>156</v>
      </c>
      <c r="I170" s="105">
        <v>10</v>
      </c>
      <c r="J170" s="105" t="s">
        <v>185</v>
      </c>
      <c r="K170" s="105">
        <v>55.39</v>
      </c>
      <c r="L170" s="105">
        <v>20</v>
      </c>
      <c r="M170" s="105">
        <v>63.72</v>
      </c>
      <c r="N170" s="105">
        <v>57.888774732165999</v>
      </c>
      <c r="O170" s="105">
        <v>66.218774732165997</v>
      </c>
      <c r="P170" s="105">
        <v>63.76209864022097</v>
      </c>
      <c r="Q170" s="105">
        <v>63.412098640220961</v>
      </c>
      <c r="R170" s="105">
        <v>67.492098640220959</v>
      </c>
      <c r="S170" s="105">
        <v>82.312098640220967</v>
      </c>
      <c r="T170" s="105">
        <v>71.982098640220968</v>
      </c>
      <c r="U170" s="105">
        <v>72.02209864022096</v>
      </c>
      <c r="V170" s="105">
        <v>69.102098640220959</v>
      </c>
      <c r="W170" s="105">
        <v>60.492098640220959</v>
      </c>
      <c r="X170" s="105">
        <v>67.269804081133429</v>
      </c>
      <c r="Y170" s="105">
        <v>79.059804081133436</v>
      </c>
      <c r="Z170" s="105">
        <v>81.419804081133435</v>
      </c>
      <c r="AA170" s="105">
        <v>86.619804081133438</v>
      </c>
      <c r="AB170" s="105">
        <v>82.469804081133432</v>
      </c>
      <c r="AC170" s="105">
        <v>86.509804081133439</v>
      </c>
      <c r="AD170" s="105">
        <v>81.849804081133428</v>
      </c>
      <c r="AE170" s="105">
        <v>73.449804081133436</v>
      </c>
      <c r="AF170" s="106" t="s">
        <v>104</v>
      </c>
    </row>
    <row r="171" spans="2:32">
      <c r="B171" s="107" t="s">
        <v>414</v>
      </c>
      <c r="C171" s="102">
        <v>79.892254362802277</v>
      </c>
      <c r="D171" s="102">
        <v>96.312098640220967</v>
      </c>
      <c r="E171" s="103">
        <v>0.01</v>
      </c>
      <c r="F171" s="104" t="s">
        <v>160</v>
      </c>
      <c r="G171" s="104" t="s">
        <v>149</v>
      </c>
      <c r="H171" s="104" t="s">
        <v>161</v>
      </c>
      <c r="I171" s="105">
        <v>10</v>
      </c>
      <c r="J171" s="105" t="s">
        <v>185</v>
      </c>
      <c r="K171" s="105">
        <v>51.98</v>
      </c>
      <c r="L171" s="105">
        <v>39</v>
      </c>
      <c r="M171" s="105">
        <v>68.320000000000007</v>
      </c>
      <c r="N171" s="105">
        <v>54.478774732165995</v>
      </c>
      <c r="O171" s="105">
        <v>70.818774732166005</v>
      </c>
      <c r="P171" s="105">
        <v>60.252098640220964</v>
      </c>
      <c r="Q171" s="105">
        <v>65.592098640220968</v>
      </c>
      <c r="R171" s="105">
        <v>71.112098640220964</v>
      </c>
      <c r="S171" s="105">
        <v>72.242098640220959</v>
      </c>
      <c r="T171" s="105">
        <v>74.792098640220956</v>
      </c>
      <c r="U171" s="105">
        <v>73.452098640220967</v>
      </c>
      <c r="V171" s="105">
        <v>69.432098640220957</v>
      </c>
      <c r="W171" s="105">
        <v>63.282098640220966</v>
      </c>
      <c r="X171" s="105">
        <v>76.20354768744501</v>
      </c>
      <c r="Y171" s="105">
        <v>81.153547687445013</v>
      </c>
      <c r="Z171" s="105">
        <v>89.653547687445013</v>
      </c>
      <c r="AA171" s="105">
        <v>90.333547687445005</v>
      </c>
      <c r="AB171" s="105">
        <v>90.473547687445006</v>
      </c>
      <c r="AC171" s="105">
        <v>87.673547687445009</v>
      </c>
      <c r="AD171" s="105">
        <v>85.033547687445008</v>
      </c>
      <c r="AE171" s="105">
        <v>79.20354768744501</v>
      </c>
      <c r="AF171" s="106" t="s">
        <v>105</v>
      </c>
    </row>
    <row r="172" spans="2:32">
      <c r="B172" s="107" t="s">
        <v>415</v>
      </c>
      <c r="C172" s="102">
        <v>78.591141680914916</v>
      </c>
      <c r="D172" s="102">
        <v>90.242098640220973</v>
      </c>
      <c r="E172" s="103">
        <v>0.01</v>
      </c>
      <c r="F172" s="104" t="s">
        <v>313</v>
      </c>
      <c r="G172" s="104" t="s">
        <v>133</v>
      </c>
      <c r="H172" s="104" t="s">
        <v>162</v>
      </c>
      <c r="I172" s="105">
        <v>10</v>
      </c>
      <c r="J172" s="105" t="s">
        <v>185</v>
      </c>
      <c r="K172" s="105">
        <v>50.64</v>
      </c>
      <c r="L172" s="105">
        <v>16</v>
      </c>
      <c r="M172" s="105">
        <v>62.250000000000007</v>
      </c>
      <c r="N172" s="105">
        <v>53.138774732165999</v>
      </c>
      <c r="O172" s="105">
        <v>64.748774732166012</v>
      </c>
      <c r="P172" s="105">
        <v>66.072098640220958</v>
      </c>
      <c r="Q172" s="105">
        <v>64.492098640220959</v>
      </c>
      <c r="R172" s="105">
        <v>68.402098640220956</v>
      </c>
      <c r="S172" s="105">
        <v>69.782098640220966</v>
      </c>
      <c r="T172" s="105">
        <v>72.222098640220963</v>
      </c>
      <c r="U172" s="105">
        <v>72.412098640220961</v>
      </c>
      <c r="V172" s="105">
        <v>71.422098640220966</v>
      </c>
      <c r="W172" s="105">
        <v>60.092098640220968</v>
      </c>
      <c r="X172" s="105">
        <v>76.57459195495602</v>
      </c>
      <c r="Y172" s="105">
        <v>79.104591954956021</v>
      </c>
      <c r="Z172" s="105">
        <v>82.064591954956015</v>
      </c>
      <c r="AA172" s="105">
        <v>82.194591954956024</v>
      </c>
      <c r="AB172" s="105">
        <v>83.014591954956018</v>
      </c>
      <c r="AC172" s="105">
        <v>82.874591954956017</v>
      </c>
      <c r="AD172" s="105">
        <v>82.974591954956011</v>
      </c>
      <c r="AE172" s="105">
        <v>70.604591954956021</v>
      </c>
      <c r="AF172" s="106" t="s">
        <v>106</v>
      </c>
    </row>
    <row r="173" spans="2:32">
      <c r="B173" s="107" t="s">
        <v>416</v>
      </c>
      <c r="C173" s="102">
        <v>73.199050747708554</v>
      </c>
      <c r="D173" s="102">
        <v>83.692098640220976</v>
      </c>
      <c r="E173" s="103">
        <v>0.01</v>
      </c>
      <c r="F173" s="104" t="s">
        <v>148</v>
      </c>
      <c r="G173" s="104" t="s">
        <v>149</v>
      </c>
      <c r="H173" s="104" t="s">
        <v>156</v>
      </c>
      <c r="I173" s="105">
        <v>10</v>
      </c>
      <c r="J173" s="105" t="s">
        <v>185</v>
      </c>
      <c r="K173" s="105">
        <v>45.21</v>
      </c>
      <c r="L173" s="105">
        <v>24</v>
      </c>
      <c r="M173" s="105">
        <v>55.70000000000001</v>
      </c>
      <c r="N173" s="105">
        <v>47.708774732165999</v>
      </c>
      <c r="O173" s="105">
        <v>58.198774732166008</v>
      </c>
      <c r="P173" s="105">
        <v>56.312098640220967</v>
      </c>
      <c r="Q173" s="105">
        <v>57.02209864022096</v>
      </c>
      <c r="R173" s="105">
        <v>61.852098640220959</v>
      </c>
      <c r="S173" s="105">
        <v>66.652098640220956</v>
      </c>
      <c r="T173" s="105">
        <v>68.682098640220957</v>
      </c>
      <c r="U173" s="105">
        <v>64.26209864022097</v>
      </c>
      <c r="V173" s="105">
        <v>65.102098640220959</v>
      </c>
      <c r="W173" s="105">
        <v>57.082098640220963</v>
      </c>
      <c r="X173" s="105">
        <v>62.618133086954884</v>
      </c>
      <c r="Y173" s="105">
        <v>70.13813308695488</v>
      </c>
      <c r="Z173" s="105">
        <v>75.368133086954884</v>
      </c>
      <c r="AA173" s="105">
        <v>77.718133086954879</v>
      </c>
      <c r="AB173" s="105">
        <v>77.658133086954876</v>
      </c>
      <c r="AC173" s="105">
        <v>75.218133086954879</v>
      </c>
      <c r="AD173" s="105">
        <v>75.058133086954882</v>
      </c>
      <c r="AE173" s="105">
        <v>66.698133086954883</v>
      </c>
      <c r="AF173" s="106" t="s">
        <v>107</v>
      </c>
    </row>
    <row r="174" spans="2:32">
      <c r="B174" s="107" t="s">
        <v>417</v>
      </c>
      <c r="C174" s="102">
        <v>86.311451964701405</v>
      </c>
      <c r="D174" s="102">
        <v>98.833894650877312</v>
      </c>
      <c r="E174" s="103">
        <v>0.05</v>
      </c>
      <c r="F174" s="104" t="s">
        <v>67</v>
      </c>
      <c r="G174" s="104" t="s">
        <v>181</v>
      </c>
      <c r="H174" s="104" t="s">
        <v>317</v>
      </c>
      <c r="I174" s="105">
        <v>13.4</v>
      </c>
      <c r="J174" s="105"/>
      <c r="K174" s="105">
        <v>58.787557313824109</v>
      </c>
      <c r="L174" s="105">
        <v>40.375</v>
      </c>
      <c r="M174" s="105">
        <v>71.31</v>
      </c>
      <c r="N174" s="105">
        <v>65.641734316916782</v>
      </c>
      <c r="O174" s="105">
        <v>76.350870699462149</v>
      </c>
      <c r="P174" s="105">
        <v>62.61961451257762</v>
      </c>
      <c r="Q174" s="105">
        <v>68.699192751007359</v>
      </c>
      <c r="R174" s="105">
        <v>76.466730590964517</v>
      </c>
      <c r="S174" s="105">
        <v>78.916415401077984</v>
      </c>
      <c r="T174" s="105">
        <v>81.034628026994469</v>
      </c>
      <c r="U174" s="105">
        <v>79.757565563897074</v>
      </c>
      <c r="V174" s="105">
        <v>77.871725820804926</v>
      </c>
      <c r="W174" s="105">
        <v>71.299999564324963</v>
      </c>
      <c r="X174" s="105"/>
      <c r="Y174" s="105"/>
      <c r="Z174" s="105"/>
      <c r="AA174" s="105"/>
      <c r="AB174" s="105"/>
      <c r="AC174" s="105"/>
      <c r="AD174" s="105"/>
      <c r="AE174" s="105"/>
      <c r="AF174" s="106" t="s">
        <v>317</v>
      </c>
    </row>
    <row r="175" spans="2:32">
      <c r="B175" s="107" t="s">
        <v>418</v>
      </c>
      <c r="C175" s="102">
        <v>70.410685883300758</v>
      </c>
      <c r="D175" s="102">
        <v>79.40209864022097</v>
      </c>
      <c r="E175" s="103">
        <v>0.05</v>
      </c>
      <c r="F175" s="104" t="s">
        <v>148</v>
      </c>
      <c r="G175" s="104" t="s">
        <v>149</v>
      </c>
      <c r="H175" s="104" t="s">
        <v>162</v>
      </c>
      <c r="I175" s="105">
        <v>10</v>
      </c>
      <c r="J175" s="105" t="s">
        <v>185</v>
      </c>
      <c r="K175" s="105">
        <v>42.5</v>
      </c>
      <c r="L175" s="105">
        <v>44</v>
      </c>
      <c r="M175" s="105">
        <v>51.410000000000011</v>
      </c>
      <c r="N175" s="105">
        <v>44.998774732165998</v>
      </c>
      <c r="O175" s="105">
        <v>53.908774732166009</v>
      </c>
      <c r="P175" s="105">
        <v>53.572098640220958</v>
      </c>
      <c r="Q175" s="105">
        <v>57.862098640220964</v>
      </c>
      <c r="R175" s="105">
        <v>60.63209864022096</v>
      </c>
      <c r="S175" s="105">
        <v>64.142098640220965</v>
      </c>
      <c r="T175" s="105">
        <v>65.932098640220957</v>
      </c>
      <c r="U175" s="105">
        <v>62.102098640220959</v>
      </c>
      <c r="V175" s="105">
        <v>58.582098640220963</v>
      </c>
      <c r="W175" s="105">
        <v>51.38209864022096</v>
      </c>
      <c r="X175" s="105">
        <v>59.259810618973376</v>
      </c>
      <c r="Y175" s="105">
        <v>68.479810618973374</v>
      </c>
      <c r="Z175" s="105">
        <v>69.029810618973372</v>
      </c>
      <c r="AA175" s="105">
        <v>73.519810618973381</v>
      </c>
      <c r="AB175" s="105">
        <v>71.419810618973372</v>
      </c>
      <c r="AC175" s="105">
        <v>74.319810618973378</v>
      </c>
      <c r="AD175" s="105">
        <v>68.139810618973371</v>
      </c>
      <c r="AE175" s="105">
        <v>61.269810618973381</v>
      </c>
      <c r="AF175" s="106" t="s">
        <v>108</v>
      </c>
    </row>
    <row r="176" spans="2:32">
      <c r="B176" s="107" t="s">
        <v>419</v>
      </c>
      <c r="C176" s="102">
        <v>77.906000274381583</v>
      </c>
      <c r="D176" s="102">
        <v>89.442098640220934</v>
      </c>
      <c r="E176" s="103">
        <v>0.05</v>
      </c>
      <c r="F176" s="104" t="s">
        <v>148</v>
      </c>
      <c r="G176" s="104" t="s">
        <v>133</v>
      </c>
      <c r="H176" s="104" t="s">
        <v>162</v>
      </c>
      <c r="I176" s="105">
        <v>10</v>
      </c>
      <c r="J176" s="105" t="s">
        <v>185</v>
      </c>
      <c r="K176" s="105">
        <v>49.97</v>
      </c>
      <c r="L176" s="105">
        <v>38</v>
      </c>
      <c r="M176" s="105">
        <v>61.449999999999974</v>
      </c>
      <c r="N176" s="105">
        <v>52.468774732165997</v>
      </c>
      <c r="O176" s="105">
        <v>63.948774732165973</v>
      </c>
      <c r="P176" s="105">
        <v>63.462098640220958</v>
      </c>
      <c r="Q176" s="105">
        <v>65.342098640220968</v>
      </c>
      <c r="R176" s="105">
        <v>66.642098640220965</v>
      </c>
      <c r="S176" s="105">
        <v>75.142098640220965</v>
      </c>
      <c r="T176" s="105">
        <v>70.972098640220963</v>
      </c>
      <c r="U176" s="105">
        <v>66.77209864022096</v>
      </c>
      <c r="V176" s="105">
        <v>61.38209864022096</v>
      </c>
      <c r="W176" s="105">
        <v>52.432098640220964</v>
      </c>
      <c r="X176" s="105">
        <v>72.193903736887094</v>
      </c>
      <c r="Y176" s="105">
        <v>74.71390373688709</v>
      </c>
      <c r="Z176" s="105">
        <v>81.743903736887091</v>
      </c>
      <c r="AA176" s="105">
        <v>87.273903736887092</v>
      </c>
      <c r="AB176" s="105">
        <v>80.533903736887083</v>
      </c>
      <c r="AC176" s="105">
        <v>71.943903736887094</v>
      </c>
      <c r="AD176" s="105">
        <v>72.623903736887087</v>
      </c>
      <c r="AE176" s="105">
        <v>64.793903736887088</v>
      </c>
      <c r="AF176" s="106" t="s">
        <v>108</v>
      </c>
    </row>
    <row r="177" spans="2:32">
      <c r="B177" s="107" t="s">
        <v>526</v>
      </c>
      <c r="C177" s="102">
        <v>82.782073207245588</v>
      </c>
      <c r="D177" s="102">
        <v>91.928454943671341</v>
      </c>
      <c r="E177" s="103">
        <v>0.05</v>
      </c>
      <c r="F177" s="104"/>
      <c r="G177" s="104"/>
      <c r="H177" s="104"/>
      <c r="I177" s="105">
        <v>14.225</v>
      </c>
      <c r="J177" s="105"/>
      <c r="K177" s="105">
        <v>56.626621913552277</v>
      </c>
      <c r="L177" s="105">
        <v>40.46875</v>
      </c>
      <c r="M177" s="105">
        <v>65.452500000000001</v>
      </c>
      <c r="N177" s="105">
        <v>63.013567803570361</v>
      </c>
      <c r="O177" s="105">
        <v>71.012320233508177</v>
      </c>
      <c r="P177" s="105">
        <v>59.398618816878191</v>
      </c>
      <c r="Q177" s="105">
        <v>65.715169321510402</v>
      </c>
      <c r="R177" s="105">
        <v>71.463225367845837</v>
      </c>
      <c r="S177" s="105">
        <v>74.134520567118685</v>
      </c>
      <c r="T177" s="105">
        <v>79.344042817856803</v>
      </c>
      <c r="U177" s="105">
        <v>76.300875856277443</v>
      </c>
      <c r="V177" s="105">
        <v>71.747545747024461</v>
      </c>
      <c r="W177" s="105">
        <v>62.161526388000958</v>
      </c>
      <c r="X177" s="105"/>
      <c r="Y177" s="105"/>
      <c r="Z177" s="105"/>
      <c r="AA177" s="105"/>
      <c r="AB177" s="105"/>
      <c r="AC177" s="105"/>
      <c r="AD177" s="105"/>
      <c r="AE177" s="105"/>
      <c r="AF177" s="106" t="s">
        <v>312</v>
      </c>
    </row>
    <row r="178" spans="2:32">
      <c r="B178" s="107" t="s">
        <v>498</v>
      </c>
      <c r="C178" s="102">
        <v>80.086650780363811</v>
      </c>
      <c r="D178" s="102">
        <v>89.744263622463862</v>
      </c>
      <c r="E178" s="103">
        <v>0.05</v>
      </c>
      <c r="F178" s="104"/>
      <c r="G178" s="104"/>
      <c r="H178" s="104"/>
      <c r="I178" s="105">
        <v>14.183333333333332</v>
      </c>
      <c r="J178" s="105"/>
      <c r="K178" s="105">
        <v>54.397300626472607</v>
      </c>
      <c r="L178" s="105">
        <v>29.875</v>
      </c>
      <c r="M178" s="105">
        <v>63.774999999999999</v>
      </c>
      <c r="N178" s="105">
        <v>60.093951844372747</v>
      </c>
      <c r="O178" s="105">
        <v>69.309340926184888</v>
      </c>
      <c r="P178" s="105">
        <v>54.582486926241735</v>
      </c>
      <c r="Q178" s="105">
        <v>61.491193615916757</v>
      </c>
      <c r="R178" s="105">
        <v>66.667206146342153</v>
      </c>
      <c r="S178" s="105">
        <v>72.064428956618826</v>
      </c>
      <c r="T178" s="105">
        <v>77.898134851001487</v>
      </c>
      <c r="U178" s="105">
        <v>71.775097750975064</v>
      </c>
      <c r="V178" s="105">
        <v>64.028955444873603</v>
      </c>
      <c r="W178" s="105">
        <v>55.792847430168848</v>
      </c>
      <c r="X178" s="105"/>
      <c r="Y178" s="105"/>
      <c r="Z178" s="105"/>
      <c r="AA178" s="105"/>
      <c r="AB178" s="105"/>
      <c r="AC178" s="105"/>
      <c r="AD178" s="105"/>
      <c r="AE178" s="105"/>
      <c r="AF178" s="106" t="s">
        <v>325</v>
      </c>
    </row>
    <row r="179" spans="2:32">
      <c r="B179" s="107" t="s">
        <v>528</v>
      </c>
      <c r="C179" s="102">
        <v>85.009015874122809</v>
      </c>
      <c r="D179" s="102">
        <v>99.695423604533644</v>
      </c>
      <c r="E179" s="103">
        <v>0.01</v>
      </c>
      <c r="F179" s="104" t="s">
        <v>66</v>
      </c>
      <c r="G179" s="104" t="s">
        <v>305</v>
      </c>
      <c r="H179" s="104" t="s">
        <v>316</v>
      </c>
      <c r="I179" s="105">
        <v>12</v>
      </c>
      <c r="J179" s="105"/>
      <c r="K179" s="105">
        <v>58.443592269589153</v>
      </c>
      <c r="L179" s="105">
        <v>8.125</v>
      </c>
      <c r="M179" s="105">
        <v>73.13</v>
      </c>
      <c r="N179" s="105">
        <v>63.000894774316954</v>
      </c>
      <c r="O179" s="105">
        <v>77.212399653118496</v>
      </c>
      <c r="P179" s="105">
        <v>61.687339819170283</v>
      </c>
      <c r="Q179" s="105">
        <v>67.430317688145266</v>
      </c>
      <c r="R179" s="105">
        <v>74.262506946202336</v>
      </c>
      <c r="S179" s="105">
        <v>79.618636766023826</v>
      </c>
      <c r="T179" s="105">
        <v>78.669250106280629</v>
      </c>
      <c r="U179" s="105">
        <v>79.770912380241583</v>
      </c>
      <c r="V179" s="105">
        <v>73.385787282609499</v>
      </c>
      <c r="W179" s="105">
        <v>61.215711882266973</v>
      </c>
      <c r="X179" s="105"/>
      <c r="Y179" s="105"/>
      <c r="Z179" s="105"/>
      <c r="AA179" s="105"/>
      <c r="AB179" s="105"/>
      <c r="AC179" s="105"/>
      <c r="AD179" s="105"/>
      <c r="AE179" s="105"/>
      <c r="AF179" s="106" t="s">
        <v>316</v>
      </c>
    </row>
    <row r="180" spans="2:32">
      <c r="B180" s="107" t="s">
        <v>529</v>
      </c>
      <c r="C180" s="102">
        <v>75.92267621077167</v>
      </c>
      <c r="D180" s="102">
        <v>90.312098640220967</v>
      </c>
      <c r="E180" s="103">
        <v>0.01</v>
      </c>
      <c r="F180" s="104" t="s">
        <v>148</v>
      </c>
      <c r="G180" s="104" t="s">
        <v>133</v>
      </c>
      <c r="H180" s="104" t="s">
        <v>163</v>
      </c>
      <c r="I180" s="105">
        <v>10</v>
      </c>
      <c r="J180" s="105" t="s">
        <v>185</v>
      </c>
      <c r="K180" s="105">
        <v>48.15</v>
      </c>
      <c r="L180" s="105">
        <v>36</v>
      </c>
      <c r="M180" s="105">
        <v>62.32</v>
      </c>
      <c r="N180" s="105">
        <v>52.069635385210603</v>
      </c>
      <c r="O180" s="105">
        <v>59.658774732165995</v>
      </c>
      <c r="P180" s="105">
        <v>59.472098640220963</v>
      </c>
      <c r="Q180" s="105">
        <v>63.77209864022096</v>
      </c>
      <c r="R180" s="105">
        <v>65.062098640220967</v>
      </c>
      <c r="S180" s="105">
        <v>71.792098640220956</v>
      </c>
      <c r="T180" s="105">
        <v>69.932098640220957</v>
      </c>
      <c r="U180" s="105">
        <v>65.992098640220959</v>
      </c>
      <c r="V180" s="105">
        <v>65.292098640220956</v>
      </c>
      <c r="W180" s="105">
        <v>55.082098640220963</v>
      </c>
      <c r="X180" s="105">
        <v>74.022243041156926</v>
      </c>
      <c r="Y180" s="105">
        <v>81.062243041156933</v>
      </c>
      <c r="Z180" s="105">
        <v>83.032243041156931</v>
      </c>
      <c r="AA180" s="105">
        <v>86.992243041156925</v>
      </c>
      <c r="AB180" s="105">
        <v>78.092243041156934</v>
      </c>
      <c r="AC180" s="105">
        <v>75.402243041156936</v>
      </c>
      <c r="AD180" s="105">
        <v>80.122243041156935</v>
      </c>
      <c r="AE180" s="105">
        <v>72.61224304115693</v>
      </c>
      <c r="AF180" s="106" t="s">
        <v>109</v>
      </c>
    </row>
    <row r="181" spans="2:32">
      <c r="B181" s="107" t="s">
        <v>527</v>
      </c>
      <c r="C181" s="102">
        <v>72.032577963968549</v>
      </c>
      <c r="D181" s="102">
        <v>87.02209864022096</v>
      </c>
      <c r="E181" s="103">
        <v>0.01</v>
      </c>
      <c r="F181" s="104" t="s">
        <v>148</v>
      </c>
      <c r="G181" s="104" t="s">
        <v>149</v>
      </c>
      <c r="H181" s="104" t="s">
        <v>163</v>
      </c>
      <c r="I181" s="105">
        <v>10</v>
      </c>
      <c r="J181" s="105" t="s">
        <v>185</v>
      </c>
      <c r="K181" s="105">
        <v>44.08</v>
      </c>
      <c r="L181" s="105">
        <v>44</v>
      </c>
      <c r="M181" s="105">
        <v>59.029999999999994</v>
      </c>
      <c r="N181" s="105">
        <v>46.578774732165996</v>
      </c>
      <c r="O181" s="105">
        <v>61.528774732165992</v>
      </c>
      <c r="P181" s="105">
        <v>55.322098640220958</v>
      </c>
      <c r="Q181" s="105">
        <v>61.852098640220959</v>
      </c>
      <c r="R181" s="105">
        <v>65.13209864022096</v>
      </c>
      <c r="S181" s="105">
        <v>64.562098640220967</v>
      </c>
      <c r="T181" s="105">
        <v>65.872098640220969</v>
      </c>
      <c r="U181" s="105">
        <v>63.912098640220961</v>
      </c>
      <c r="V181" s="105">
        <v>60.902098640220956</v>
      </c>
      <c r="W181" s="105">
        <v>56.222098640220963</v>
      </c>
      <c r="X181" s="105">
        <v>67.629759385091319</v>
      </c>
      <c r="Y181" s="105">
        <v>74.329759385091322</v>
      </c>
      <c r="Z181" s="105">
        <v>74.649759385091315</v>
      </c>
      <c r="AA181" s="105">
        <v>77.009759385091328</v>
      </c>
      <c r="AB181" s="105">
        <v>77.329759385091322</v>
      </c>
      <c r="AC181" s="105">
        <v>79.639759385091324</v>
      </c>
      <c r="AD181" s="105">
        <v>82.15975938509132</v>
      </c>
      <c r="AE181" s="105">
        <v>79.079759385091322</v>
      </c>
      <c r="AF181" s="106" t="s">
        <v>110</v>
      </c>
    </row>
    <row r="182" spans="2:32">
      <c r="B182" s="107" t="s">
        <v>499</v>
      </c>
      <c r="C182" s="102">
        <v>80.393503635403206</v>
      </c>
      <c r="D182" s="102">
        <v>88.243894650877309</v>
      </c>
      <c r="E182" s="103">
        <v>0.05</v>
      </c>
      <c r="F182" s="104" t="s">
        <v>67</v>
      </c>
      <c r="G182" s="104" t="s">
        <v>181</v>
      </c>
      <c r="H182" s="104" t="s">
        <v>315</v>
      </c>
      <c r="I182" s="105">
        <v>13.4</v>
      </c>
      <c r="J182" s="105"/>
      <c r="K182" s="105">
        <v>52.869608984525904</v>
      </c>
      <c r="L182" s="105">
        <v>18.5</v>
      </c>
      <c r="M182" s="105">
        <v>60.72</v>
      </c>
      <c r="N182" s="105">
        <v>58.304304053664332</v>
      </c>
      <c r="O182" s="105">
        <v>65.760870699462146</v>
      </c>
      <c r="P182" s="105">
        <v>65.40863276675006</v>
      </c>
      <c r="Q182" s="105">
        <v>61.620253102765354</v>
      </c>
      <c r="R182" s="105">
        <v>67.245075340083247</v>
      </c>
      <c r="S182" s="105">
        <v>70.085079827672445</v>
      </c>
      <c r="T182" s="105">
        <v>76.427374191850603</v>
      </c>
      <c r="U182" s="105">
        <v>74.988174008675401</v>
      </c>
      <c r="V182" s="105">
        <v>70.740213955998485</v>
      </c>
      <c r="W182" s="105">
        <v>62.390865765664927</v>
      </c>
      <c r="X182" s="105"/>
      <c r="Y182" s="105"/>
      <c r="Z182" s="105"/>
      <c r="AA182" s="105"/>
      <c r="AB182" s="105"/>
      <c r="AC182" s="105"/>
      <c r="AD182" s="105"/>
      <c r="AE182" s="105"/>
      <c r="AF182" s="106" t="s">
        <v>315</v>
      </c>
    </row>
    <row r="183" spans="2:32">
      <c r="B183" s="107" t="s">
        <v>420</v>
      </c>
      <c r="C183" s="102">
        <v>84.416058286768347</v>
      </c>
      <c r="D183" s="102">
        <v>96.975880563730428</v>
      </c>
      <c r="E183" s="103">
        <v>0.05</v>
      </c>
      <c r="F183" s="104" t="s">
        <v>148</v>
      </c>
      <c r="G183" s="104" t="s">
        <v>133</v>
      </c>
      <c r="H183" s="104" t="s">
        <v>162</v>
      </c>
      <c r="I183" s="105">
        <v>10</v>
      </c>
      <c r="J183" s="105" t="s">
        <v>185</v>
      </c>
      <c r="K183" s="105">
        <v>56.434259603187201</v>
      </c>
      <c r="L183" s="105">
        <v>6</v>
      </c>
      <c r="M183" s="105">
        <v>68.994081880149281</v>
      </c>
      <c r="N183" s="105">
        <v>58.933034335353199</v>
      </c>
      <c r="O183" s="105">
        <v>71.492856612315279</v>
      </c>
      <c r="P183" s="105">
        <v>67.94107085748557</v>
      </c>
      <c r="Q183" s="105">
        <v>74.060364160080027</v>
      </c>
      <c r="R183" s="105">
        <v>78.038255823118206</v>
      </c>
      <c r="S183" s="105">
        <v>78.696795393637373</v>
      </c>
      <c r="T183" s="105">
        <v>78.400307328042075</v>
      </c>
      <c r="U183" s="105">
        <v>74.897795907448341</v>
      </c>
      <c r="V183" s="105">
        <v>67.96646237897599</v>
      </c>
      <c r="W183" s="105">
        <v>58.334917767644157</v>
      </c>
      <c r="X183" s="105">
        <v>78.428320498757103</v>
      </c>
      <c r="Y183" s="105">
        <v>87.772617117835722</v>
      </c>
      <c r="Z183" s="105">
        <v>92.324301363908504</v>
      </c>
      <c r="AA183" s="105">
        <v>90.471973931519102</v>
      </c>
      <c r="AB183" s="105">
        <v>90.170372674919975</v>
      </c>
      <c r="AC183" s="105">
        <v>85.440877575195458</v>
      </c>
      <c r="AD183" s="105">
        <v>79.731655501078123</v>
      </c>
      <c r="AE183" s="105">
        <v>69.590152511740868</v>
      </c>
      <c r="AF183" s="106" t="s">
        <v>123</v>
      </c>
    </row>
    <row r="184" spans="2:32">
      <c r="B184" s="107" t="s">
        <v>421</v>
      </c>
      <c r="C184" s="102">
        <v>84.423455277147568</v>
      </c>
      <c r="D184" s="102">
        <v>97.672098640220952</v>
      </c>
      <c r="E184" s="103">
        <v>0.05</v>
      </c>
      <c r="F184" s="104" t="s">
        <v>148</v>
      </c>
      <c r="G184" s="104" t="s">
        <v>149</v>
      </c>
      <c r="H184" s="104" t="s">
        <v>162</v>
      </c>
      <c r="I184" s="105">
        <v>10</v>
      </c>
      <c r="J184" s="105" t="s">
        <v>185</v>
      </c>
      <c r="K184" s="105">
        <v>56.48</v>
      </c>
      <c r="L184" s="105">
        <v>14</v>
      </c>
      <c r="M184" s="105">
        <v>69.679999999999993</v>
      </c>
      <c r="N184" s="105">
        <v>58.978774732165995</v>
      </c>
      <c r="O184" s="105">
        <v>72.178774732165991</v>
      </c>
      <c r="P184" s="105">
        <v>58.88209864022096</v>
      </c>
      <c r="Q184" s="105">
        <v>64.072098640220958</v>
      </c>
      <c r="R184" s="105">
        <v>72.592098640220968</v>
      </c>
      <c r="S184" s="105">
        <v>80.092098640220968</v>
      </c>
      <c r="T184" s="105">
        <v>79.63209864022096</v>
      </c>
      <c r="U184" s="105">
        <v>76.802098640220962</v>
      </c>
      <c r="V184" s="105">
        <v>71.142098640220965</v>
      </c>
      <c r="W184" s="105">
        <v>57.062098640220967</v>
      </c>
      <c r="X184" s="105">
        <v>72.498304225489619</v>
      </c>
      <c r="Y184" s="105">
        <v>79.608304225489618</v>
      </c>
      <c r="Z184" s="105">
        <v>86.818304225489612</v>
      </c>
      <c r="AA184" s="105">
        <v>92.958304225489613</v>
      </c>
      <c r="AB184" s="105">
        <v>91.518304225489615</v>
      </c>
      <c r="AC184" s="105">
        <v>90.788304225489611</v>
      </c>
      <c r="AD184" s="105">
        <v>88.148304225489611</v>
      </c>
      <c r="AE184" s="105">
        <v>71.558304225489621</v>
      </c>
      <c r="AF184" s="106" t="s">
        <v>124</v>
      </c>
    </row>
    <row r="185" spans="2:32">
      <c r="B185" s="107" t="s">
        <v>422</v>
      </c>
      <c r="C185" s="102">
        <v>81.879927892440705</v>
      </c>
      <c r="D185" s="102" t="s">
        <v>185</v>
      </c>
      <c r="E185" s="103">
        <v>0.1</v>
      </c>
      <c r="F185" s="104" t="s">
        <v>67</v>
      </c>
      <c r="G185" s="122" t="s">
        <v>342</v>
      </c>
      <c r="H185" s="104" t="s">
        <v>134</v>
      </c>
      <c r="I185" s="105" t="s">
        <v>185</v>
      </c>
      <c r="J185" s="105" t="s">
        <v>185</v>
      </c>
      <c r="K185" s="105" t="s">
        <v>185</v>
      </c>
      <c r="L185" s="105" t="s">
        <v>185</v>
      </c>
      <c r="M185" s="105"/>
      <c r="N185" s="105">
        <f>C185-10 *LOG(2*PI()*7.5^2)</f>
        <v>56.396903941025556</v>
      </c>
      <c r="O185" s="105" t="s">
        <v>185</v>
      </c>
      <c r="P185" s="105">
        <v>66</v>
      </c>
      <c r="Q185" s="105">
        <v>66</v>
      </c>
      <c r="R185" s="105">
        <v>71</v>
      </c>
      <c r="S185" s="105">
        <v>80</v>
      </c>
      <c r="T185" s="105">
        <v>73</v>
      </c>
      <c r="U185" s="105">
        <v>70</v>
      </c>
      <c r="V185" s="105">
        <v>65</v>
      </c>
      <c r="W185" s="105">
        <v>57</v>
      </c>
      <c r="X185" s="105" t="s">
        <v>185</v>
      </c>
      <c r="Y185" s="105" t="s">
        <v>185</v>
      </c>
      <c r="Z185" s="105" t="s">
        <v>185</v>
      </c>
      <c r="AA185" s="105" t="s">
        <v>185</v>
      </c>
      <c r="AB185" s="105" t="s">
        <v>185</v>
      </c>
      <c r="AC185" s="105" t="s">
        <v>185</v>
      </c>
      <c r="AD185" s="105" t="s">
        <v>185</v>
      </c>
      <c r="AE185" s="105" t="s">
        <v>185</v>
      </c>
      <c r="AF185" s="106" t="s">
        <v>350</v>
      </c>
    </row>
    <row r="186" spans="2:32">
      <c r="B186" s="94"/>
      <c r="C186" s="102"/>
      <c r="D186" s="102"/>
      <c r="E186" s="103"/>
      <c r="F186" s="104"/>
      <c r="G186" s="104"/>
      <c r="H186" s="104"/>
      <c r="I186" s="105"/>
      <c r="J186" s="105"/>
      <c r="K186" s="105"/>
      <c r="L186" s="105"/>
      <c r="M186" s="105"/>
      <c r="N186" s="105"/>
      <c r="O186" s="105"/>
      <c r="P186" s="105"/>
      <c r="Q186" s="105"/>
      <c r="R186" s="105"/>
      <c r="S186" s="105"/>
      <c r="T186" s="105"/>
      <c r="U186" s="105"/>
      <c r="V186" s="105"/>
      <c r="W186" s="105"/>
      <c r="X186" s="105"/>
      <c r="Y186" s="105"/>
      <c r="Z186" s="105"/>
      <c r="AA186" s="105"/>
      <c r="AB186" s="105"/>
      <c r="AC186" s="105"/>
      <c r="AD186" s="105"/>
      <c r="AE186" s="105"/>
      <c r="AF186" s="106"/>
    </row>
    <row r="187" spans="2:32">
      <c r="B187" s="98" t="s">
        <v>318</v>
      </c>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row>
    <row r="188" spans="2:32">
      <c r="B188" s="101" t="s">
        <v>185</v>
      </c>
      <c r="C188" s="102"/>
      <c r="D188" s="102"/>
      <c r="E188" s="103"/>
      <c r="F188" s="104"/>
      <c r="G188" s="104"/>
      <c r="H188" s="104"/>
      <c r="I188" s="105"/>
      <c r="J188" s="105"/>
      <c r="K188" s="105"/>
      <c r="L188" s="105"/>
      <c r="M188" s="105"/>
      <c r="N188" s="105"/>
      <c r="O188" s="105"/>
      <c r="P188" s="105"/>
      <c r="Q188" s="105"/>
      <c r="R188" s="105"/>
      <c r="S188" s="105"/>
      <c r="T188" s="105"/>
      <c r="U188" s="105"/>
      <c r="V188" s="105"/>
      <c r="W188" s="105"/>
      <c r="X188" s="105"/>
      <c r="Y188" s="105"/>
      <c r="Z188" s="105"/>
      <c r="AA188" s="105"/>
      <c r="AB188" s="105"/>
      <c r="AC188" s="105"/>
      <c r="AD188" s="105"/>
      <c r="AE188" s="105"/>
      <c r="AF188" s="106"/>
    </row>
    <row r="189" spans="2:32">
      <c r="B189" s="107" t="s">
        <v>500</v>
      </c>
      <c r="C189" s="102">
        <v>81.555070946438306</v>
      </c>
      <c r="D189" s="102">
        <v>100.44209864022098</v>
      </c>
      <c r="E189" s="103">
        <v>0.75</v>
      </c>
      <c r="F189" s="104" t="s">
        <v>151</v>
      </c>
      <c r="G189" s="104" t="s">
        <v>149</v>
      </c>
      <c r="H189" s="104" t="s">
        <v>134</v>
      </c>
      <c r="I189" s="105">
        <v>10</v>
      </c>
      <c r="J189" s="105" t="s">
        <v>185</v>
      </c>
      <c r="K189" s="105">
        <v>53.59</v>
      </c>
      <c r="L189" s="105">
        <v>50</v>
      </c>
      <c r="M189" s="105">
        <v>72.450000000000017</v>
      </c>
      <c r="N189" s="105">
        <v>67.185533898784399</v>
      </c>
      <c r="O189" s="105">
        <v>65.373774732165998</v>
      </c>
      <c r="P189" s="105">
        <v>62.232098640220968</v>
      </c>
      <c r="Q189" s="105">
        <v>65.812098640220967</v>
      </c>
      <c r="R189" s="105">
        <v>72.302098640220962</v>
      </c>
      <c r="S189" s="105">
        <v>74.712098640220958</v>
      </c>
      <c r="T189" s="105">
        <v>76.712098640220958</v>
      </c>
      <c r="U189" s="105">
        <v>74.942098640220962</v>
      </c>
      <c r="V189" s="105">
        <v>70.072098640220958</v>
      </c>
      <c r="W189" s="105">
        <v>64.332098640220963</v>
      </c>
      <c r="X189" s="105">
        <v>80.638916712248815</v>
      </c>
      <c r="Y189" s="105">
        <v>81.438916712248812</v>
      </c>
      <c r="Z189" s="105">
        <v>90.138916712248815</v>
      </c>
      <c r="AA189" s="105">
        <v>93.758916712248805</v>
      </c>
      <c r="AB189" s="105">
        <v>95.608916712248813</v>
      </c>
      <c r="AC189" s="105">
        <v>94.388916712248815</v>
      </c>
      <c r="AD189" s="105">
        <v>88.76891671224881</v>
      </c>
      <c r="AE189" s="105">
        <v>84.298916712248811</v>
      </c>
      <c r="AF189" s="106" t="s">
        <v>319</v>
      </c>
    </row>
    <row r="190" spans="2:32">
      <c r="B190" s="107" t="s">
        <v>375</v>
      </c>
      <c r="C190" s="102">
        <v>77.281276033898436</v>
      </c>
      <c r="D190" s="102">
        <v>85.422098640220966</v>
      </c>
      <c r="E190" s="103">
        <v>0.75</v>
      </c>
      <c r="F190" s="104" t="s">
        <v>313</v>
      </c>
      <c r="G190" s="104" t="s">
        <v>149</v>
      </c>
      <c r="H190" s="104" t="s">
        <v>134</v>
      </c>
      <c r="I190" s="105">
        <v>10</v>
      </c>
      <c r="J190" s="105" t="s">
        <v>185</v>
      </c>
      <c r="K190" s="105">
        <v>49.33</v>
      </c>
      <c r="L190" s="110" t="s">
        <v>185</v>
      </c>
      <c r="M190" s="105">
        <v>57.430000000000007</v>
      </c>
      <c r="N190" s="105">
        <v>70.077810983430439</v>
      </c>
      <c r="O190" s="105">
        <v>59.928774732166005</v>
      </c>
      <c r="P190" s="105">
        <v>56.302098640220962</v>
      </c>
      <c r="Q190" s="105">
        <v>57.262098640220962</v>
      </c>
      <c r="R190" s="105">
        <v>65.422098640220966</v>
      </c>
      <c r="S190" s="105">
        <v>71.652098640220956</v>
      </c>
      <c r="T190" s="105">
        <v>72.452098640220967</v>
      </c>
      <c r="U190" s="105">
        <v>71.182098640220957</v>
      </c>
      <c r="V190" s="105">
        <v>64.732098640220968</v>
      </c>
      <c r="W190" s="105">
        <v>58.512098640220962</v>
      </c>
      <c r="X190" s="105">
        <v>59.242280331957339</v>
      </c>
      <c r="Y190" s="105">
        <v>62.632280331957347</v>
      </c>
      <c r="Z190" s="105">
        <v>71.662280331957348</v>
      </c>
      <c r="AA190" s="105">
        <v>81.632280331957347</v>
      </c>
      <c r="AB190" s="105">
        <v>79.062280331957339</v>
      </c>
      <c r="AC190" s="105">
        <v>78.352280331957346</v>
      </c>
      <c r="AD190" s="105">
        <v>74.422280331957339</v>
      </c>
      <c r="AE190" s="105">
        <v>69.47228033195735</v>
      </c>
      <c r="AF190" s="106" t="s">
        <v>98</v>
      </c>
    </row>
    <row r="191" spans="2:32">
      <c r="B191" s="107" t="s">
        <v>376</v>
      </c>
      <c r="C191" s="102">
        <v>75.53027113246327</v>
      </c>
      <c r="D191" s="102">
        <v>96.263323908054957</v>
      </c>
      <c r="E191" s="103">
        <v>0.75</v>
      </c>
      <c r="F191" s="104" t="s">
        <v>66</v>
      </c>
      <c r="G191" s="104" t="s">
        <v>321</v>
      </c>
      <c r="H191" s="104" t="s">
        <v>322</v>
      </c>
      <c r="I191" s="105">
        <v>15</v>
      </c>
      <c r="J191" s="105"/>
      <c r="K191" s="105">
        <v>50.036947224408308</v>
      </c>
      <c r="L191" s="105">
        <v>187</v>
      </c>
      <c r="M191" s="105">
        <v>70.77</v>
      </c>
      <c r="N191" s="105">
        <v>56.067869630845891</v>
      </c>
      <c r="O191" s="105">
        <v>76.790599913279621</v>
      </c>
      <c r="P191" s="105">
        <v>52.033125502669407</v>
      </c>
      <c r="Q191" s="105">
        <v>57.115164099782945</v>
      </c>
      <c r="R191" s="105">
        <v>63.213661946212994</v>
      </c>
      <c r="S191" s="105">
        <v>70.094252158139426</v>
      </c>
      <c r="T191" s="105">
        <v>71.693164024566173</v>
      </c>
      <c r="U191" s="105">
        <v>67.997710923873456</v>
      </c>
      <c r="V191" s="105">
        <v>61.148391843478549</v>
      </c>
      <c r="W191" s="105">
        <v>55.600600269872373</v>
      </c>
      <c r="X191" s="105"/>
      <c r="Y191" s="105"/>
      <c r="Z191" s="105"/>
      <c r="AA191" s="105"/>
      <c r="AB191" s="105"/>
      <c r="AC191" s="105"/>
      <c r="AD191" s="105"/>
      <c r="AE191" s="105"/>
      <c r="AF191" s="106" t="s">
        <v>320</v>
      </c>
    </row>
    <row r="192" spans="2:32">
      <c r="B192" s="107" t="s">
        <v>377</v>
      </c>
      <c r="C192" s="102">
        <v>98.93043028108039</v>
      </c>
      <c r="D192" s="102">
        <v>111.46768436145859</v>
      </c>
      <c r="E192" s="103">
        <v>0.45</v>
      </c>
      <c r="F192" s="104" t="s">
        <v>67</v>
      </c>
      <c r="G192" s="104" t="s">
        <v>181</v>
      </c>
      <c r="H192" s="104" t="s">
        <v>323</v>
      </c>
      <c r="I192" s="105">
        <v>16.8</v>
      </c>
      <c r="J192" s="105"/>
      <c r="K192" s="105">
        <v>72.452745919621805</v>
      </c>
      <c r="L192" s="105">
        <v>931.125</v>
      </c>
      <c r="M192" s="105">
        <v>84.99</v>
      </c>
      <c r="N192" s="105">
        <v>79.571461068766041</v>
      </c>
      <c r="O192" s="105">
        <v>91.994960366683245</v>
      </c>
      <c r="P192" s="105">
        <v>74.584305037415731</v>
      </c>
      <c r="Q192" s="105">
        <v>82.919198764068938</v>
      </c>
      <c r="R192" s="105">
        <v>89.949507397154434</v>
      </c>
      <c r="S192" s="105">
        <v>90.328750788806417</v>
      </c>
      <c r="T192" s="105">
        <v>95.024747207230746</v>
      </c>
      <c r="U192" s="105">
        <v>92.175718943155857</v>
      </c>
      <c r="V192" s="105">
        <v>88.181303176361382</v>
      </c>
      <c r="W192" s="105">
        <v>75.664674160503637</v>
      </c>
      <c r="X192" s="105"/>
      <c r="Y192" s="105"/>
      <c r="Z192" s="105"/>
      <c r="AA192" s="105"/>
      <c r="AB192" s="105"/>
      <c r="AC192" s="105"/>
      <c r="AD192" s="105"/>
      <c r="AE192" s="105"/>
      <c r="AF192" s="106" t="s">
        <v>323</v>
      </c>
    </row>
    <row r="193" spans="2:32">
      <c r="B193" s="107" t="s">
        <v>378</v>
      </c>
      <c r="C193" s="102">
        <v>93.072875389906272</v>
      </c>
      <c r="D193" s="102">
        <v>114.63768436145858</v>
      </c>
      <c r="E193" s="103">
        <v>0.35</v>
      </c>
      <c r="F193" s="104" t="s">
        <v>67</v>
      </c>
      <c r="G193" s="104" t="s">
        <v>181</v>
      </c>
      <c r="H193" s="104" t="s">
        <v>324</v>
      </c>
      <c r="I193" s="105">
        <v>16.8</v>
      </c>
      <c r="J193" s="105"/>
      <c r="K193" s="105">
        <v>66.595191028447672</v>
      </c>
      <c r="L193" s="105">
        <v>547.5</v>
      </c>
      <c r="M193" s="105">
        <v>88.16</v>
      </c>
      <c r="N193" s="105">
        <v>74.022931764900164</v>
      </c>
      <c r="O193" s="105">
        <v>95.16496036668326</v>
      </c>
      <c r="P193" s="105">
        <v>78.833484236117144</v>
      </c>
      <c r="Q193" s="105">
        <v>79.991425458765789</v>
      </c>
      <c r="R193" s="105">
        <v>85.245375561960145</v>
      </c>
      <c r="S193" s="105">
        <v>84.963553696584569</v>
      </c>
      <c r="T193" s="105">
        <v>87.825572964095755</v>
      </c>
      <c r="U193" s="105">
        <v>86.372926896677953</v>
      </c>
      <c r="V193" s="105">
        <v>81.657177023482632</v>
      </c>
      <c r="W193" s="105">
        <v>72.601465050021915</v>
      </c>
      <c r="X193" s="105"/>
      <c r="Y193" s="105"/>
      <c r="Z193" s="105"/>
      <c r="AA193" s="105"/>
      <c r="AB193" s="105"/>
      <c r="AC193" s="105"/>
      <c r="AD193" s="105"/>
      <c r="AE193" s="105"/>
      <c r="AF193" s="106" t="s">
        <v>324</v>
      </c>
    </row>
    <row r="194" spans="2:32">
      <c r="B194" s="94"/>
      <c r="C194" s="102"/>
      <c r="D194" s="102"/>
      <c r="E194" s="103"/>
      <c r="F194" s="104"/>
      <c r="G194" s="104"/>
      <c r="H194" s="104"/>
      <c r="I194" s="105"/>
      <c r="J194" s="105"/>
      <c r="K194" s="105"/>
      <c r="L194" s="105"/>
      <c r="M194" s="105"/>
      <c r="N194" s="105"/>
      <c r="O194" s="105"/>
      <c r="P194" s="105"/>
      <c r="Q194" s="105"/>
      <c r="R194" s="105"/>
      <c r="S194" s="105"/>
      <c r="T194" s="105"/>
      <c r="U194" s="105"/>
      <c r="V194" s="105"/>
      <c r="W194" s="105"/>
      <c r="X194" s="105"/>
      <c r="Y194" s="105"/>
      <c r="Z194" s="105"/>
      <c r="AA194" s="105"/>
      <c r="AB194" s="105"/>
      <c r="AC194" s="105"/>
      <c r="AD194" s="105"/>
      <c r="AE194" s="105"/>
      <c r="AF194" s="106"/>
    </row>
    <row r="297" spans="2:32">
      <c r="B297" s="94" t="s">
        <v>341</v>
      </c>
      <c r="C297" s="102">
        <v>91.039601199411479</v>
      </c>
      <c r="D297" s="102">
        <v>112.03960119941149</v>
      </c>
      <c r="E297" s="103">
        <v>1</v>
      </c>
      <c r="F297" s="104"/>
      <c r="G297" s="104"/>
      <c r="H297" s="104"/>
      <c r="I297" s="105" t="s">
        <v>185</v>
      </c>
      <c r="J297" s="105" t="s">
        <v>185</v>
      </c>
      <c r="K297" s="105" t="s">
        <v>185</v>
      </c>
      <c r="L297" s="105" t="s">
        <v>185</v>
      </c>
      <c r="M297" s="105"/>
      <c r="N297" s="105">
        <f>C297-10 *LOG(2*PI()*7.5^2)</f>
        <v>65.55657724799633</v>
      </c>
      <c r="O297" s="105">
        <f>D297-10 *LOG(2*PI()*7.5^2)</f>
        <v>86.556577247996344</v>
      </c>
      <c r="P297" s="105">
        <v>69</v>
      </c>
      <c r="Q297" s="105">
        <v>77</v>
      </c>
      <c r="R297" s="105">
        <v>85</v>
      </c>
      <c r="S297" s="105">
        <v>87</v>
      </c>
      <c r="T297" s="105">
        <v>84</v>
      </c>
      <c r="U297" s="105">
        <v>80</v>
      </c>
      <c r="V297" s="105">
        <v>76</v>
      </c>
      <c r="W297" s="105">
        <v>66</v>
      </c>
      <c r="X297" s="105">
        <v>90</v>
      </c>
      <c r="Y297" s="105">
        <v>98</v>
      </c>
      <c r="Z297" s="105">
        <v>106</v>
      </c>
      <c r="AA297" s="105">
        <v>108</v>
      </c>
      <c r="AB297" s="105">
        <v>105</v>
      </c>
      <c r="AC297" s="105">
        <v>101</v>
      </c>
      <c r="AD297" s="105">
        <v>97</v>
      </c>
      <c r="AE297" s="105">
        <v>87</v>
      </c>
      <c r="AF297" s="106"/>
    </row>
  </sheetData>
  <sheetProtection sheet="1" objects="1" scenarios="1"/>
  <sortState ref="B177:AI181">
    <sortCondition ref="B177"/>
  </sortState>
  <mergeCells count="3">
    <mergeCell ref="B6:B7"/>
    <mergeCell ref="P6:W6"/>
    <mergeCell ref="X6:AE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tint="0.59999389629810485"/>
  </sheetPr>
  <dimension ref="B1:C12"/>
  <sheetViews>
    <sheetView workbookViewId="0"/>
  </sheetViews>
  <sheetFormatPr defaultRowHeight="11.25"/>
  <cols>
    <col min="1" max="1" width="3.375" customWidth="1"/>
    <col min="2" max="2" width="25.625" bestFit="1" customWidth="1"/>
    <col min="3" max="3" width="33.125" customWidth="1"/>
  </cols>
  <sheetData>
    <row r="1" spans="2:3" ht="18">
      <c r="B1" s="76" t="s">
        <v>212</v>
      </c>
    </row>
    <row r="2" spans="2:3" ht="11.25" customHeight="1">
      <c r="B2" s="3"/>
    </row>
    <row r="3" spans="2:3" ht="11.25" customHeight="1">
      <c r="B3" s="78" t="s">
        <v>213</v>
      </c>
    </row>
    <row r="5" spans="2:3">
      <c r="B5" s="65" t="s">
        <v>6</v>
      </c>
      <c r="C5" s="15" t="s">
        <v>23</v>
      </c>
    </row>
    <row r="6" spans="2:3">
      <c r="B6" s="62" t="s">
        <v>37</v>
      </c>
      <c r="C6" s="63"/>
    </row>
    <row r="7" spans="2:3">
      <c r="B7" s="62" t="s">
        <v>12</v>
      </c>
      <c r="C7" s="64">
        <v>8</v>
      </c>
    </row>
    <row r="8" spans="2:3">
      <c r="B8" s="62" t="s">
        <v>11</v>
      </c>
      <c r="C8" s="64">
        <v>7</v>
      </c>
    </row>
    <row r="9" spans="2:3">
      <c r="B9" s="62" t="s">
        <v>10</v>
      </c>
      <c r="C9" s="64">
        <v>4</v>
      </c>
    </row>
    <row r="10" spans="2:3">
      <c r="B10" s="62" t="s">
        <v>9</v>
      </c>
      <c r="C10" s="64">
        <v>8</v>
      </c>
    </row>
    <row r="11" spans="2:3">
      <c r="B11" s="62" t="s">
        <v>8</v>
      </c>
      <c r="C11" s="64">
        <v>1</v>
      </c>
    </row>
    <row r="12" spans="2:3">
      <c r="B12" s="62" t="s">
        <v>7</v>
      </c>
      <c r="C12" s="64">
        <v>0.5</v>
      </c>
    </row>
  </sheetData>
  <sheetProtection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
  <sheetViews>
    <sheetView showGridLines="0" showRowColHeaders="0" zoomScale="71" zoomScaleNormal="71" workbookViewId="0">
      <selection activeCell="O1" sqref="O1"/>
    </sheetView>
  </sheetViews>
  <sheetFormatPr defaultRowHeight="11.25"/>
  <sheetData/>
  <sheetProtection sheet="1" objects="1" scenarios="1"/>
  <pageMargins left="0.7" right="0.7" top="0.75" bottom="0.75" header="0.3" footer="0.3"/>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Beregningsmodel forenklet</vt:lpstr>
      <vt:lpstr>Beregningsmodel avanceret</vt:lpstr>
      <vt:lpstr>Brugervejledning</vt:lpstr>
      <vt:lpstr>Teknisk beskrivelse</vt:lpstr>
      <vt:lpstr>Katalog-køretøjer</vt:lpstr>
      <vt:lpstr>Katalog-samlede leverancer</vt:lpstr>
      <vt:lpstr>Katalog-støjkilder</vt:lpstr>
      <vt:lpstr>Tidsrum</vt:lpstr>
      <vt:lpstr>Eks. 1A, alm. forenklet</vt:lpstr>
      <vt:lpstr>Eks. 1B, støjsvag forenklet</vt:lpstr>
      <vt:lpstr>Eks.2 beregningsmodel avanceret</vt:lpstr>
      <vt:lpstr>Brugervejledning!_ftn1</vt:lpstr>
      <vt:lpstr>Brugervejledning!_ftn2</vt:lpstr>
      <vt:lpstr>Brugervejledning!_ftn3</vt:lpstr>
      <vt:lpstr>Brugervejledning!_ftnref1</vt:lpstr>
      <vt:lpstr>Brugervejledning!_ftnref2</vt:lpstr>
      <vt:lpstr>Brugervejledning!_ftnref3</vt:lpstr>
      <vt:lpstr>'Beregningsmodel avanceret'!Print_Area</vt:lpstr>
      <vt:lpstr>'Beregningsmodel forenklet'!Print_Area</vt:lpstr>
      <vt:lpstr>Brugervejledning!Print_Area</vt:lpstr>
      <vt:lpstr>'Eks. 1A, alm. forenklet'!Print_Area</vt:lpstr>
      <vt:lpstr>'Eks. 1B, støjsvag forenklet'!Print_Area</vt:lpstr>
      <vt:lpstr>'Eks.2 beregningsmodel avanceret'!Print_Area</vt:lpstr>
      <vt:lpstr>'Teknisk beskrivelse'!Print_Area</vt:lpstr>
    </vt:vector>
  </TitlesOfParts>
  <Company>Ramboll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Allan Jensen</dc:creator>
  <cp:lastModifiedBy>Inge Lis Kjær</cp:lastModifiedBy>
  <cp:lastPrinted>2014-09-15T08:34:24Z</cp:lastPrinted>
  <dcterms:created xsi:type="dcterms:W3CDTF">2013-07-24T13:37:02Z</dcterms:created>
  <dcterms:modified xsi:type="dcterms:W3CDTF">2014-09-30T12:01:15Z</dcterms:modified>
</cp:coreProperties>
</file>